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drawings/drawing1.xml" ContentType="application/vnd.openxmlformats-officedocument.drawing+xml"/>
  <Override PartName="/xl/comments5.xml" ContentType="application/vnd.openxmlformats-officedocument.spreadsheetml.comments+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426"/>
  <workbookPr codeName="ThisWorkbook" defaultThemeVersion="124226"/>
  <mc:AlternateContent xmlns:mc="http://schemas.openxmlformats.org/markup-compatibility/2006">
    <mc:Choice Requires="x15">
      <x15ac:absPath xmlns:x15ac="http://schemas.microsoft.com/office/spreadsheetml/2010/11/ac" url="C:\Users\training.CHAINSHINE\Desktop\"/>
    </mc:Choice>
  </mc:AlternateContent>
  <bookViews>
    <workbookView xWindow="-345" yWindow="-300" windowWidth="15480" windowHeight="6840"/>
  </bookViews>
  <sheets>
    <sheet name="Cover" sheetId="23" r:id="rId1"/>
    <sheet name="Contents" sheetId="17" r:id="rId2"/>
    <sheet name="Revenues" sheetId="10" r:id="rId3"/>
    <sheet name="PP&amp;E" sheetId="13" r:id="rId4"/>
    <sheet name="Financing" sheetId="14" r:id="rId5"/>
    <sheet name="Cals" sheetId="6" r:id="rId6"/>
    <sheet name="IS" sheetId="3" r:id="rId7"/>
    <sheet name="BS" sheetId="2" r:id="rId8"/>
    <sheet name="CFS" sheetId="4" r:id="rId9"/>
    <sheet name="Ratios" sheetId="21" r:id="rId10"/>
    <sheet name="DCF" sheetId="19" r:id="rId11"/>
    <sheet name="Comps" sheetId="22" r:id="rId12"/>
  </sheets>
  <definedNames>
    <definedName name="g">DCF!$F$38</definedName>
    <definedName name="wacc">DCF!$F$19</definedName>
  </definedNames>
  <calcPr calcId="162913" iterate="1"/>
</workbook>
</file>

<file path=xl/calcChain.xml><?xml version="1.0" encoding="utf-8"?>
<calcChain xmlns="http://schemas.openxmlformats.org/spreadsheetml/2006/main">
  <c r="D8" i="3" l="1"/>
  <c r="C8" i="3"/>
  <c r="D22" i="10"/>
  <c r="D11" i="6"/>
  <c r="E11" i="6"/>
  <c r="C11" i="6"/>
  <c r="D24" i="3"/>
  <c r="D26" i="3" s="1"/>
  <c r="E24" i="3"/>
  <c r="E26" i="3" s="1"/>
  <c r="C24" i="3"/>
  <c r="C26" i="3" s="1"/>
  <c r="G27" i="19"/>
  <c r="H38" i="3"/>
  <c r="H13" i="4"/>
  <c r="H27" i="19"/>
  <c r="G19" i="6"/>
  <c r="G38" i="3"/>
  <c r="G13" i="4"/>
  <c r="H19" i="6"/>
  <c r="I19" i="6"/>
  <c r="I38" i="3"/>
  <c r="I13" i="4"/>
  <c r="I27" i="19"/>
  <c r="J19" i="6"/>
  <c r="J38" i="3"/>
  <c r="J13" i="4"/>
  <c r="J27" i="19"/>
  <c r="K19" i="6"/>
  <c r="K38" i="3"/>
  <c r="K13" i="4"/>
  <c r="K27" i="19"/>
  <c r="L19" i="6"/>
  <c r="L38" i="3"/>
  <c r="L13" i="4"/>
  <c r="L27" i="19"/>
  <c r="M19" i="6"/>
  <c r="M38" i="3"/>
  <c r="M13" i="4"/>
  <c r="M27" i="19"/>
  <c r="N19" i="6"/>
  <c r="N38" i="3"/>
  <c r="N13" i="4"/>
  <c r="N27" i="19"/>
  <c r="O19" i="6"/>
  <c r="O38" i="3"/>
  <c r="O13" i="4"/>
  <c r="O27" i="19"/>
  <c r="F19" i="6"/>
  <c r="E9" i="6"/>
  <c r="D9" i="6"/>
  <c r="C9" i="6"/>
  <c r="G40" i="10"/>
  <c r="G27" i="10"/>
  <c r="L25" i="10"/>
  <c r="I25" i="10"/>
  <c r="N25" i="10"/>
  <c r="G25" i="10"/>
  <c r="J25" i="10"/>
  <c r="F17" i="19"/>
  <c r="G19" i="19" s="1"/>
  <c r="F16" i="19"/>
  <c r="F18" i="19"/>
  <c r="E46" i="14"/>
  <c r="F46" i="14" s="1"/>
  <c r="G46" i="14" s="1"/>
  <c r="H46" i="14" s="1"/>
  <c r="I46" i="14" s="1"/>
  <c r="J46" i="14" s="1"/>
  <c r="K46" i="14" s="1"/>
  <c r="L46" i="14" s="1"/>
  <c r="M46" i="14" s="1"/>
  <c r="N46" i="14" s="1"/>
  <c r="O46" i="14" s="1"/>
  <c r="F20" i="10"/>
  <c r="F21" i="10"/>
  <c r="F22" i="10" s="1"/>
  <c r="F24" i="10" s="1"/>
  <c r="G20" i="10"/>
  <c r="G21" i="10"/>
  <c r="G22" i="10"/>
  <c r="G23" i="10"/>
  <c r="G24" i="10" s="1"/>
  <c r="G26" i="10" s="1"/>
  <c r="G28" i="10" s="1"/>
  <c r="H20" i="10"/>
  <c r="H21" i="10"/>
  <c r="H23" i="10"/>
  <c r="I20" i="10"/>
  <c r="I22" i="10" s="1"/>
  <c r="I21" i="10"/>
  <c r="I23" i="10"/>
  <c r="J20" i="10"/>
  <c r="J22" i="10" s="1"/>
  <c r="J21" i="10"/>
  <c r="J23" i="10"/>
  <c r="J24" i="10"/>
  <c r="J26" i="10" s="1"/>
  <c r="J28" i="10" s="1"/>
  <c r="K20" i="10"/>
  <c r="K21" i="10"/>
  <c r="K22" i="10" s="1"/>
  <c r="K23" i="10"/>
  <c r="K24" i="10" s="1"/>
  <c r="K26" i="10" s="1"/>
  <c r="K28" i="10" s="1"/>
  <c r="L20" i="10"/>
  <c r="L22" i="10" s="1"/>
  <c r="L24" i="10" s="1"/>
  <c r="L26" i="10" s="1"/>
  <c r="L28" i="10" s="1"/>
  <c r="L21" i="10"/>
  <c r="L23" i="10"/>
  <c r="M20" i="10"/>
  <c r="M22" i="10" s="1"/>
  <c r="M21" i="10"/>
  <c r="M23" i="10"/>
  <c r="N20" i="10"/>
  <c r="N21" i="10"/>
  <c r="N23" i="10"/>
  <c r="O20" i="10"/>
  <c r="O21" i="10"/>
  <c r="O22" i="10"/>
  <c r="O23" i="10"/>
  <c r="F23" i="10"/>
  <c r="D15" i="21"/>
  <c r="D19" i="21"/>
  <c r="D21" i="21" s="1"/>
  <c r="D22" i="21" s="1"/>
  <c r="D16" i="21"/>
  <c r="D17" i="21"/>
  <c r="D18" i="21"/>
  <c r="D34" i="2"/>
  <c r="D51" i="14" s="1"/>
  <c r="E15" i="21"/>
  <c r="E16" i="21"/>
  <c r="E17" i="21"/>
  <c r="E18" i="21"/>
  <c r="E34" i="2"/>
  <c r="E30" i="22"/>
  <c r="C15" i="21"/>
  <c r="C19" i="21" s="1"/>
  <c r="C16" i="21"/>
  <c r="C17" i="21"/>
  <c r="C18" i="21"/>
  <c r="I10" i="22"/>
  <c r="J10" i="22"/>
  <c r="K10" i="22"/>
  <c r="K16" i="22" s="1"/>
  <c r="L10" i="22"/>
  <c r="I11" i="22"/>
  <c r="J11" i="22"/>
  <c r="J17" i="22" s="1"/>
  <c r="J15" i="22" s="1"/>
  <c r="K11" i="22"/>
  <c r="L11" i="22"/>
  <c r="I12" i="22"/>
  <c r="J12" i="22"/>
  <c r="K12" i="22"/>
  <c r="L12" i="22"/>
  <c r="I13" i="22"/>
  <c r="J13" i="22"/>
  <c r="K13" i="22"/>
  <c r="L13" i="22"/>
  <c r="I14" i="22"/>
  <c r="J14" i="22"/>
  <c r="K14" i="22"/>
  <c r="L14" i="22"/>
  <c r="L17" i="22" s="1"/>
  <c r="L15" i="22" s="1"/>
  <c r="F35" i="10"/>
  <c r="G35" i="10"/>
  <c r="G36" i="10"/>
  <c r="G37" i="10" s="1"/>
  <c r="G39" i="10" s="1"/>
  <c r="G38" i="10"/>
  <c r="F29" i="10"/>
  <c r="G33" i="3"/>
  <c r="F34" i="3"/>
  <c r="G34" i="3"/>
  <c r="H34" i="3"/>
  <c r="I34" i="3" s="1"/>
  <c r="J34" i="3" s="1"/>
  <c r="K34" i="3" s="1"/>
  <c r="L34" i="3" s="1"/>
  <c r="M34" i="3" s="1"/>
  <c r="N34" i="3" s="1"/>
  <c r="O34" i="3" s="1"/>
  <c r="E30" i="3"/>
  <c r="E14" i="6" s="1"/>
  <c r="F36" i="10"/>
  <c r="F37" i="10" s="1"/>
  <c r="F39" i="10" s="1"/>
  <c r="F38" i="10"/>
  <c r="F40" i="10"/>
  <c r="F25" i="10"/>
  <c r="F27" i="10"/>
  <c r="F33" i="3"/>
  <c r="H25" i="22"/>
  <c r="H31" i="22" s="1"/>
  <c r="I25" i="22"/>
  <c r="J25" i="22"/>
  <c r="H26" i="22"/>
  <c r="I26" i="22"/>
  <c r="I31" i="22" s="1"/>
  <c r="J26" i="22"/>
  <c r="H27" i="22"/>
  <c r="I27" i="22"/>
  <c r="J27" i="22"/>
  <c r="J32" i="22" s="1"/>
  <c r="J30" i="22" s="1"/>
  <c r="H28" i="22"/>
  <c r="I28" i="22"/>
  <c r="J28" i="22"/>
  <c r="H29" i="22"/>
  <c r="I29" i="22"/>
  <c r="J29" i="22"/>
  <c r="E48" i="14"/>
  <c r="F32" i="2"/>
  <c r="F34" i="4"/>
  <c r="F45" i="14"/>
  <c r="F47" i="14"/>
  <c r="F48" i="14" s="1"/>
  <c r="G48" i="14" s="1"/>
  <c r="H48" i="14" s="1"/>
  <c r="I48" i="14" s="1"/>
  <c r="J48" i="14" s="1"/>
  <c r="K48" i="14" s="1"/>
  <c r="L48" i="14" s="1"/>
  <c r="M48" i="14" s="1"/>
  <c r="N48" i="14" s="1"/>
  <c r="O48" i="14" s="1"/>
  <c r="G45" i="14"/>
  <c r="G47" i="14"/>
  <c r="E26" i="6"/>
  <c r="F23" i="6" s="1"/>
  <c r="F40" i="22"/>
  <c r="I40" i="22"/>
  <c r="F41" i="22"/>
  <c r="O41" i="22" s="1"/>
  <c r="I41" i="22"/>
  <c r="F42" i="22"/>
  <c r="O42" i="22" s="1"/>
  <c r="I42" i="22"/>
  <c r="F43" i="22"/>
  <c r="O43" i="22" s="1"/>
  <c r="I43" i="22"/>
  <c r="F44" i="22"/>
  <c r="O44" i="22" s="1"/>
  <c r="I44" i="22"/>
  <c r="I45" i="22"/>
  <c r="F16" i="2"/>
  <c r="F46" i="19"/>
  <c r="C53" i="22"/>
  <c r="H56" i="22" s="1"/>
  <c r="E53" i="22"/>
  <c r="I56" i="22" s="1"/>
  <c r="B22" i="19"/>
  <c r="H35" i="10"/>
  <c r="H36" i="10"/>
  <c r="H37" i="10" s="1"/>
  <c r="H39" i="10" s="1"/>
  <c r="H38" i="10"/>
  <c r="H40" i="10"/>
  <c r="H25" i="10"/>
  <c r="H27" i="10"/>
  <c r="H33" i="3"/>
  <c r="I35" i="10"/>
  <c r="I36" i="10"/>
  <c r="I38" i="10"/>
  <c r="I33" i="3"/>
  <c r="J35" i="10"/>
  <c r="J36" i="10"/>
  <c r="J38" i="10"/>
  <c r="J33" i="3"/>
  <c r="K35" i="10"/>
  <c r="L37" i="10" s="1"/>
  <c r="L39" i="10" s="1"/>
  <c r="L41" i="10" s="1"/>
  <c r="K36" i="10"/>
  <c r="K38" i="10"/>
  <c r="K25" i="10"/>
  <c r="K33" i="3"/>
  <c r="L35" i="10"/>
  <c r="M37" i="10" s="1"/>
  <c r="M35" i="10"/>
  <c r="M36" i="10"/>
  <c r="M39" i="10"/>
  <c r="M41" i="10" s="1"/>
  <c r="M38" i="10"/>
  <c r="L36" i="10"/>
  <c r="L38" i="10"/>
  <c r="L33" i="3"/>
  <c r="M25" i="10"/>
  <c r="M33" i="3"/>
  <c r="N35" i="10"/>
  <c r="N37" i="10"/>
  <c r="N36" i="10"/>
  <c r="N38" i="10"/>
  <c r="N33" i="3"/>
  <c r="O35" i="10"/>
  <c r="O36" i="10"/>
  <c r="O37" i="10"/>
  <c r="O39" i="10" s="1"/>
  <c r="O38" i="10"/>
  <c r="O25" i="10"/>
  <c r="O33" i="3"/>
  <c r="G13" i="13"/>
  <c r="E39" i="13"/>
  <c r="F36" i="13"/>
  <c r="F13" i="13"/>
  <c r="F14" i="13"/>
  <c r="F15" i="13"/>
  <c r="F37" i="13" s="1"/>
  <c r="H13" i="13"/>
  <c r="H15" i="13" s="1"/>
  <c r="H37" i="13" s="1"/>
  <c r="I13" i="13"/>
  <c r="J13" i="13"/>
  <c r="K13" i="13"/>
  <c r="L13" i="13"/>
  <c r="M13" i="13"/>
  <c r="N13" i="13"/>
  <c r="O13" i="13"/>
  <c r="G18" i="6"/>
  <c r="G25" i="4"/>
  <c r="G30" i="19"/>
  <c r="H18" i="6"/>
  <c r="H25" i="4"/>
  <c r="I18" i="6"/>
  <c r="I25" i="4"/>
  <c r="I30" i="19"/>
  <c r="J18" i="6"/>
  <c r="J25" i="4"/>
  <c r="J30" i="19"/>
  <c r="K18" i="6"/>
  <c r="K25" i="4"/>
  <c r="K30" i="19"/>
  <c r="L18" i="6"/>
  <c r="L25" i="4"/>
  <c r="L30" i="19"/>
  <c r="M18" i="6"/>
  <c r="M25" i="4"/>
  <c r="N18" i="6"/>
  <c r="N25" i="4"/>
  <c r="N30" i="19"/>
  <c r="O18" i="6"/>
  <c r="O25" i="4"/>
  <c r="D54" i="19"/>
  <c r="C30" i="3"/>
  <c r="C14" i="6"/>
  <c r="D30" i="3"/>
  <c r="F11" i="21"/>
  <c r="G11" i="21"/>
  <c r="H11" i="21"/>
  <c r="I11" i="21"/>
  <c r="J11" i="21"/>
  <c r="K11" i="21"/>
  <c r="L11" i="21"/>
  <c r="M11" i="21"/>
  <c r="N11" i="21"/>
  <c r="O11" i="21"/>
  <c r="C14" i="21"/>
  <c r="D14" i="21"/>
  <c r="E14" i="21"/>
  <c r="E19" i="14"/>
  <c r="E23" i="14"/>
  <c r="F23" i="14"/>
  <c r="G23" i="14" s="1"/>
  <c r="F23" i="2"/>
  <c r="E27" i="14"/>
  <c r="F27" i="14"/>
  <c r="G27" i="14"/>
  <c r="G29" i="14" s="1"/>
  <c r="G28" i="2"/>
  <c r="E31" i="14"/>
  <c r="E35" i="14"/>
  <c r="C34" i="2"/>
  <c r="H45" i="14"/>
  <c r="H47" i="14"/>
  <c r="I45" i="14"/>
  <c r="I47" i="14"/>
  <c r="J45" i="14"/>
  <c r="J47" i="14"/>
  <c r="K45" i="14"/>
  <c r="K47" i="14"/>
  <c r="L45" i="14"/>
  <c r="L47" i="14"/>
  <c r="M45" i="14"/>
  <c r="M47" i="14"/>
  <c r="N45" i="14"/>
  <c r="N47" i="14"/>
  <c r="O45" i="14"/>
  <c r="O47" i="14"/>
  <c r="C14" i="2"/>
  <c r="C19" i="2"/>
  <c r="C23" i="21"/>
  <c r="D14" i="2"/>
  <c r="D19" i="2"/>
  <c r="D23" i="21"/>
  <c r="E14" i="2"/>
  <c r="E19" i="2"/>
  <c r="E23" i="21"/>
  <c r="E66" i="21" s="1"/>
  <c r="F18" i="6"/>
  <c r="F25" i="4"/>
  <c r="C26" i="2"/>
  <c r="C30" i="2" s="1"/>
  <c r="C36" i="2" s="1"/>
  <c r="C38" i="2" s="1"/>
  <c r="D26" i="2"/>
  <c r="D30" i="2" s="1"/>
  <c r="D36" i="2" s="1"/>
  <c r="E26" i="2"/>
  <c r="E30" i="2"/>
  <c r="F43" i="3"/>
  <c r="F15" i="4"/>
  <c r="F21" i="4"/>
  <c r="F26" i="4" s="1"/>
  <c r="G43" i="3"/>
  <c r="G15" i="4"/>
  <c r="G21" i="4"/>
  <c r="G26" i="4" s="1"/>
  <c r="H43" i="3"/>
  <c r="H15" i="4"/>
  <c r="H21" i="4"/>
  <c r="I43" i="3"/>
  <c r="I15" i="4"/>
  <c r="I21" i="4" s="1"/>
  <c r="I26" i="4" s="1"/>
  <c r="J43" i="3"/>
  <c r="J15" i="4"/>
  <c r="J21" i="4"/>
  <c r="J26" i="4" s="1"/>
  <c r="K43" i="3"/>
  <c r="K15" i="4"/>
  <c r="K21" i="4"/>
  <c r="K26" i="4" s="1"/>
  <c r="L43" i="3"/>
  <c r="L15" i="4"/>
  <c r="L21" i="4"/>
  <c r="M43" i="3"/>
  <c r="M15" i="4"/>
  <c r="M21" i="4" s="1"/>
  <c r="M26" i="4" s="1"/>
  <c r="N43" i="3"/>
  <c r="N15" i="4"/>
  <c r="N21" i="4"/>
  <c r="O43" i="3"/>
  <c r="O15" i="4"/>
  <c r="O21" i="4"/>
  <c r="F44" i="3"/>
  <c r="F16" i="4"/>
  <c r="F22" i="4"/>
  <c r="G44" i="3"/>
  <c r="G16" i="4"/>
  <c r="G22" i="4" s="1"/>
  <c r="H44" i="3"/>
  <c r="H16" i="4"/>
  <c r="H22" i="4"/>
  <c r="H26" i="4" s="1"/>
  <c r="I44" i="3"/>
  <c r="I16" i="4"/>
  <c r="I22" i="4"/>
  <c r="J44" i="3"/>
  <c r="J16" i="4"/>
  <c r="J22" i="4"/>
  <c r="K44" i="3"/>
  <c r="K16" i="4"/>
  <c r="K22" i="4" s="1"/>
  <c r="L44" i="3"/>
  <c r="L16" i="4"/>
  <c r="L22" i="4"/>
  <c r="M44" i="3"/>
  <c r="M16" i="4"/>
  <c r="M22" i="4"/>
  <c r="N44" i="3"/>
  <c r="N16" i="4"/>
  <c r="N22" i="4"/>
  <c r="O44" i="3"/>
  <c r="O16" i="4"/>
  <c r="O22" i="4" s="1"/>
  <c r="E29" i="6"/>
  <c r="E30" i="6"/>
  <c r="E32" i="6"/>
  <c r="E33" i="6"/>
  <c r="F29" i="4"/>
  <c r="F39" i="4"/>
  <c r="C8" i="2"/>
  <c r="D8" i="2"/>
  <c r="E8" i="2"/>
  <c r="G16" i="2"/>
  <c r="H16" i="2"/>
  <c r="I16" i="2"/>
  <c r="J23" i="4"/>
  <c r="J16" i="2"/>
  <c r="K16" i="2"/>
  <c r="L23" i="4"/>
  <c r="L16" i="2"/>
  <c r="M16" i="2"/>
  <c r="N16" i="2"/>
  <c r="N23" i="4"/>
  <c r="O16" i="2"/>
  <c r="O23" i="4"/>
  <c r="E20" i="6"/>
  <c r="F17" i="6" s="1"/>
  <c r="F20" i="6" s="1"/>
  <c r="G17" i="6" s="1"/>
  <c r="G20" i="6" s="1"/>
  <c r="H17" i="6" s="1"/>
  <c r="H20" i="6" s="1"/>
  <c r="I17" i="6" s="1"/>
  <c r="I20" i="6" s="1"/>
  <c r="J17" i="6" s="1"/>
  <c r="J20" i="6" s="1"/>
  <c r="K17" i="6" s="1"/>
  <c r="K20" i="6" s="1"/>
  <c r="L17" i="6" s="1"/>
  <c r="L20" i="6" s="1"/>
  <c r="M17" i="6" s="1"/>
  <c r="M20" i="6" s="1"/>
  <c r="N17" i="6" s="1"/>
  <c r="N20" i="6" s="1"/>
  <c r="O17" i="6" s="1"/>
  <c r="O20" i="6" s="1"/>
  <c r="E8" i="3"/>
  <c r="C9" i="3"/>
  <c r="D9" i="3"/>
  <c r="E9" i="3"/>
  <c r="C10" i="3"/>
  <c r="D10" i="3"/>
  <c r="E10" i="3"/>
  <c r="C11" i="3"/>
  <c r="D11" i="3"/>
  <c r="E11" i="3"/>
  <c r="C12" i="3"/>
  <c r="D12" i="3"/>
  <c r="E12" i="3"/>
  <c r="C13" i="3"/>
  <c r="D13" i="3"/>
  <c r="E13" i="3"/>
  <c r="D14" i="3"/>
  <c r="E14" i="3"/>
  <c r="C15" i="3"/>
  <c r="D15" i="3"/>
  <c r="E15" i="3"/>
  <c r="C16" i="3"/>
  <c r="D16" i="3"/>
  <c r="E16" i="3"/>
  <c r="C17" i="3"/>
  <c r="D17" i="3"/>
  <c r="E17" i="3"/>
  <c r="C18" i="3"/>
  <c r="D18" i="3"/>
  <c r="E18" i="3"/>
  <c r="F42" i="3"/>
  <c r="G42" i="3"/>
  <c r="H42" i="3"/>
  <c r="I42" i="3"/>
  <c r="J42" i="3"/>
  <c r="K42" i="3"/>
  <c r="L42" i="3"/>
  <c r="M42" i="3"/>
  <c r="N42" i="3"/>
  <c r="O42" i="3"/>
  <c r="F45" i="3"/>
  <c r="G45" i="3"/>
  <c r="H45" i="3"/>
  <c r="I45" i="3"/>
  <c r="J45" i="3"/>
  <c r="K45" i="3"/>
  <c r="L45" i="3"/>
  <c r="M45" i="3"/>
  <c r="N45" i="3"/>
  <c r="O45" i="3"/>
  <c r="D8" i="6"/>
  <c r="E8" i="6"/>
  <c r="E13" i="6"/>
  <c r="D8" i="14"/>
  <c r="E8" i="14"/>
  <c r="D10" i="14"/>
  <c r="E10" i="14"/>
  <c r="D12" i="14"/>
  <c r="E12" i="14"/>
  <c r="D15" i="14"/>
  <c r="E15" i="14"/>
  <c r="F20" i="14"/>
  <c r="G20" i="14"/>
  <c r="H20" i="14"/>
  <c r="I20" i="14"/>
  <c r="J20" i="14"/>
  <c r="K20" i="14"/>
  <c r="L20" i="14"/>
  <c r="M20" i="14"/>
  <c r="N20" i="14"/>
  <c r="O20" i="14"/>
  <c r="F24" i="14"/>
  <c r="F25" i="14" s="1"/>
  <c r="G24" i="14"/>
  <c r="H24" i="14"/>
  <c r="I24" i="14"/>
  <c r="J24" i="14"/>
  <c r="K24" i="14"/>
  <c r="L24" i="14"/>
  <c r="M24" i="14"/>
  <c r="N24" i="14"/>
  <c r="O24" i="14"/>
  <c r="F28" i="14"/>
  <c r="F29" i="14" s="1"/>
  <c r="G28" i="14"/>
  <c r="H28" i="14"/>
  <c r="I28" i="14"/>
  <c r="J28" i="14"/>
  <c r="K28" i="14"/>
  <c r="L28" i="14"/>
  <c r="M28" i="14"/>
  <c r="N28" i="14"/>
  <c r="O28" i="14"/>
  <c r="F32" i="14"/>
  <c r="F33" i="14" s="1"/>
  <c r="G32" i="14"/>
  <c r="H32" i="14"/>
  <c r="I32" i="14"/>
  <c r="J32" i="14"/>
  <c r="K32" i="14"/>
  <c r="L32" i="14"/>
  <c r="M32" i="14"/>
  <c r="N32" i="14"/>
  <c r="O32" i="14"/>
  <c r="E38" i="14"/>
  <c r="F39" i="14"/>
  <c r="G39" i="14"/>
  <c r="H39" i="14"/>
  <c r="I39" i="14"/>
  <c r="J39" i="14"/>
  <c r="K39" i="14"/>
  <c r="L39" i="14"/>
  <c r="M39" i="14"/>
  <c r="N39" i="14"/>
  <c r="O39" i="14"/>
  <c r="D46" i="14"/>
  <c r="F19" i="13"/>
  <c r="G19" i="13"/>
  <c r="H19" i="13"/>
  <c r="I19" i="13"/>
  <c r="J19" i="13"/>
  <c r="K19" i="13"/>
  <c r="L19" i="13"/>
  <c r="M19" i="13"/>
  <c r="N19" i="13"/>
  <c r="O19" i="13"/>
  <c r="F22" i="13"/>
  <c r="F23" i="13"/>
  <c r="G23" i="13"/>
  <c r="F24" i="13"/>
  <c r="G24" i="13"/>
  <c r="H24" i="13"/>
  <c r="F25" i="13"/>
  <c r="G25" i="13"/>
  <c r="H25" i="13"/>
  <c r="I25" i="13"/>
  <c r="F26" i="13"/>
  <c r="G26" i="13"/>
  <c r="H26" i="13"/>
  <c r="I26" i="13"/>
  <c r="J26" i="13"/>
  <c r="F27" i="13"/>
  <c r="G27" i="13"/>
  <c r="H27" i="13"/>
  <c r="I27" i="13"/>
  <c r="J27" i="13"/>
  <c r="K27" i="13"/>
  <c r="F28" i="13"/>
  <c r="G28" i="13"/>
  <c r="H28" i="13"/>
  <c r="I28" i="13"/>
  <c r="J28" i="13"/>
  <c r="K28" i="13"/>
  <c r="L28" i="13"/>
  <c r="F29" i="13"/>
  <c r="G29" i="13"/>
  <c r="H29" i="13"/>
  <c r="I29" i="13"/>
  <c r="J29" i="13"/>
  <c r="K29" i="13"/>
  <c r="L29" i="13"/>
  <c r="M29" i="13"/>
  <c r="F30" i="13"/>
  <c r="G30" i="13"/>
  <c r="H30" i="13"/>
  <c r="I30" i="13"/>
  <c r="J30" i="13"/>
  <c r="K30" i="13"/>
  <c r="L30" i="13"/>
  <c r="M30" i="13"/>
  <c r="N30" i="13"/>
  <c r="F32" i="13"/>
  <c r="G32" i="13"/>
  <c r="H32" i="13"/>
  <c r="I32" i="13"/>
  <c r="J32" i="13"/>
  <c r="K32" i="13"/>
  <c r="L32" i="13"/>
  <c r="M32" i="13"/>
  <c r="N32" i="13"/>
  <c r="O32" i="13"/>
  <c r="D8" i="10"/>
  <c r="E8" i="10"/>
  <c r="D14" i="10"/>
  <c r="E14" i="10"/>
  <c r="E8" i="21"/>
  <c r="E56" i="21" s="1"/>
  <c r="E64" i="21" s="1"/>
  <c r="I40" i="10"/>
  <c r="I27" i="10"/>
  <c r="J40" i="10"/>
  <c r="J27" i="10"/>
  <c r="K40" i="10"/>
  <c r="K27" i="10"/>
  <c r="L40" i="10"/>
  <c r="L27" i="10"/>
  <c r="M40" i="10"/>
  <c r="M27" i="10"/>
  <c r="N40" i="10"/>
  <c r="O40" i="10"/>
  <c r="N27" i="10"/>
  <c r="O27" i="10"/>
  <c r="L35" i="19"/>
  <c r="M35" i="19"/>
  <c r="I35" i="19"/>
  <c r="J35" i="19"/>
  <c r="G35" i="19"/>
  <c r="O35" i="19"/>
  <c r="H35" i="19"/>
  <c r="K35" i="19"/>
  <c r="N35" i="19"/>
  <c r="M23" i="4"/>
  <c r="I23" i="4"/>
  <c r="E48" i="21"/>
  <c r="E51" i="14"/>
  <c r="E20" i="21"/>
  <c r="D8" i="21"/>
  <c r="D56" i="21" s="1"/>
  <c r="D64" i="21" s="1"/>
  <c r="D34" i="21"/>
  <c r="D53" i="21"/>
  <c r="E45" i="22"/>
  <c r="E53" i="21"/>
  <c r="E28" i="21"/>
  <c r="F41" i="10"/>
  <c r="F31" i="4"/>
  <c r="F16" i="21"/>
  <c r="G17" i="21"/>
  <c r="D20" i="21"/>
  <c r="F28" i="2"/>
  <c r="G32" i="4"/>
  <c r="K23" i="4"/>
  <c r="D52" i="14"/>
  <c r="D48" i="21"/>
  <c r="D46" i="21"/>
  <c r="H23" i="4"/>
  <c r="G23" i="4"/>
  <c r="H30" i="19"/>
  <c r="M30" i="19"/>
  <c r="O30" i="19"/>
  <c r="E46" i="21"/>
  <c r="E47" i="21"/>
  <c r="E60" i="21"/>
  <c r="E34" i="6"/>
  <c r="C47" i="21"/>
  <c r="L16" i="22"/>
  <c r="H28" i="2"/>
  <c r="H17" i="21"/>
  <c r="F24" i="4"/>
  <c r="F25" i="21"/>
  <c r="G22" i="3"/>
  <c r="G25" i="3" s="1"/>
  <c r="G32" i="2"/>
  <c r="G34" i="4"/>
  <c r="F32" i="4"/>
  <c r="H32" i="4"/>
  <c r="J28" i="2"/>
  <c r="J17" i="21"/>
  <c r="I28" i="2"/>
  <c r="I17" i="21"/>
  <c r="H32" i="2"/>
  <c r="H34" i="4"/>
  <c r="I32" i="4"/>
  <c r="K28" i="2"/>
  <c r="C20" i="21"/>
  <c r="C51" i="14"/>
  <c r="I32" i="2"/>
  <c r="G23" i="2"/>
  <c r="J32" i="4"/>
  <c r="G51" i="3"/>
  <c r="G32" i="6"/>
  <c r="G24" i="2"/>
  <c r="G23" i="3"/>
  <c r="G29" i="3" s="1"/>
  <c r="E52" i="14"/>
  <c r="E36" i="2"/>
  <c r="E38" i="2"/>
  <c r="D59" i="21"/>
  <c r="C46" i="21"/>
  <c r="C48" i="21"/>
  <c r="D54" i="21"/>
  <c r="D14" i="6"/>
  <c r="F50" i="19"/>
  <c r="F51" i="3"/>
  <c r="F38" i="3"/>
  <c r="F13" i="4"/>
  <c r="C34" i="21"/>
  <c r="C8" i="21"/>
  <c r="D28" i="21"/>
  <c r="E54" i="21"/>
  <c r="N45" i="22"/>
  <c r="F23" i="4"/>
  <c r="O40" i="22"/>
  <c r="S40" i="22" s="1"/>
  <c r="J31" i="22"/>
  <c r="F26" i="10"/>
  <c r="F28" i="10" s="1"/>
  <c r="F17" i="21"/>
  <c r="D60" i="21"/>
  <c r="D47" i="21"/>
  <c r="F31" i="14"/>
  <c r="E19" i="21"/>
  <c r="E21" i="21" s="1"/>
  <c r="E22" i="21" s="1"/>
  <c r="E34" i="21"/>
  <c r="I22" i="3"/>
  <c r="I32" i="3" s="1"/>
  <c r="H22" i="3"/>
  <c r="F18" i="2"/>
  <c r="J32" i="2"/>
  <c r="F29" i="2"/>
  <c r="G31" i="14"/>
  <c r="U40" i="22"/>
  <c r="D9" i="21"/>
  <c r="D29" i="21" s="1"/>
  <c r="C52" i="14"/>
  <c r="C60" i="21"/>
  <c r="I34" i="4"/>
  <c r="K32" i="4"/>
  <c r="K17" i="21"/>
  <c r="F22" i="3"/>
  <c r="C9" i="21"/>
  <c r="H51" i="3"/>
  <c r="G16" i="21"/>
  <c r="G31" i="4"/>
  <c r="D66" i="21"/>
  <c r="E59" i="21"/>
  <c r="E9" i="21"/>
  <c r="E49" i="21" s="1"/>
  <c r="P45" i="22"/>
  <c r="H23" i="2"/>
  <c r="L28" i="2"/>
  <c r="G12" i="2"/>
  <c r="L32" i="4"/>
  <c r="L17" i="21"/>
  <c r="E10" i="21"/>
  <c r="E12" i="21" s="1"/>
  <c r="G8" i="21"/>
  <c r="G28" i="21" s="1"/>
  <c r="G43" i="4"/>
  <c r="K32" i="2"/>
  <c r="J22" i="3"/>
  <c r="J28" i="3" s="1"/>
  <c r="J30" i="3" s="1"/>
  <c r="J33" i="6" s="1"/>
  <c r="I28" i="3"/>
  <c r="I23" i="2"/>
  <c r="E29" i="21"/>
  <c r="E35" i="21"/>
  <c r="F23" i="3"/>
  <c r="F29" i="3" s="1"/>
  <c r="F32" i="6"/>
  <c r="F24" i="2"/>
  <c r="G54" i="21"/>
  <c r="J34" i="4"/>
  <c r="H32" i="6"/>
  <c r="H24" i="2"/>
  <c r="H23" i="3"/>
  <c r="H29" i="3"/>
  <c r="C35" i="21"/>
  <c r="C49" i="21"/>
  <c r="D49" i="21"/>
  <c r="D35" i="21"/>
  <c r="F33" i="4"/>
  <c r="F18" i="21"/>
  <c r="H28" i="3"/>
  <c r="H30" i="3" s="1"/>
  <c r="H32" i="3"/>
  <c r="H29" i="6"/>
  <c r="H25" i="3"/>
  <c r="H24" i="3"/>
  <c r="H26" i="3"/>
  <c r="H30" i="6" s="1"/>
  <c r="H31" i="4"/>
  <c r="H16" i="21"/>
  <c r="C10" i="21"/>
  <c r="C12" i="21" s="1"/>
  <c r="D10" i="21"/>
  <c r="D30" i="21" s="1"/>
  <c r="G25" i="2"/>
  <c r="M28" i="2"/>
  <c r="I51" i="3"/>
  <c r="F29" i="6"/>
  <c r="F25" i="3"/>
  <c r="F32" i="3"/>
  <c r="F24" i="3"/>
  <c r="F26" i="3" s="1"/>
  <c r="F28" i="3"/>
  <c r="F30" i="3" s="1"/>
  <c r="F33" i="6" s="1"/>
  <c r="G29" i="2"/>
  <c r="I23" i="3"/>
  <c r="I29" i="3" s="1"/>
  <c r="I32" i="6"/>
  <c r="I24" i="2"/>
  <c r="G18" i="2"/>
  <c r="H18" i="2"/>
  <c r="F12" i="2"/>
  <c r="G53" i="21"/>
  <c r="L32" i="2"/>
  <c r="E11" i="21"/>
  <c r="G33" i="4"/>
  <c r="G18" i="21"/>
  <c r="D11" i="21"/>
  <c r="D12" i="21"/>
  <c r="I54" i="21"/>
  <c r="I25" i="2"/>
  <c r="H43" i="4"/>
  <c r="H13" i="2"/>
  <c r="H8" i="21"/>
  <c r="H35" i="21" s="1"/>
  <c r="H29" i="2"/>
  <c r="C11" i="21"/>
  <c r="J23" i="3"/>
  <c r="J29" i="3"/>
  <c r="J32" i="6"/>
  <c r="J24" i="2"/>
  <c r="E30" i="21"/>
  <c r="F25" i="2"/>
  <c r="F54" i="21"/>
  <c r="N28" i="2"/>
  <c r="O28" i="2"/>
  <c r="D36" i="21"/>
  <c r="H12" i="2"/>
  <c r="J23" i="2"/>
  <c r="G13" i="2"/>
  <c r="H17" i="4"/>
  <c r="H28" i="19"/>
  <c r="F13" i="2"/>
  <c r="F8" i="21"/>
  <c r="F43" i="4"/>
  <c r="M17" i="21"/>
  <c r="M32" i="4"/>
  <c r="I12" i="2"/>
  <c r="K34" i="4"/>
  <c r="J51" i="3"/>
  <c r="H25" i="2"/>
  <c r="H54" i="21"/>
  <c r="K22" i="3"/>
  <c r="K24" i="3" s="1"/>
  <c r="K26" i="3" s="1"/>
  <c r="I31" i="4"/>
  <c r="I16" i="21"/>
  <c r="J29" i="6"/>
  <c r="R45" i="22"/>
  <c r="G9" i="21"/>
  <c r="G29" i="21" s="1"/>
  <c r="K23" i="3"/>
  <c r="K29" i="3"/>
  <c r="K32" i="6"/>
  <c r="K24" i="2"/>
  <c r="F9" i="21"/>
  <c r="Q45" i="22"/>
  <c r="K23" i="2"/>
  <c r="O17" i="21"/>
  <c r="O32" i="4"/>
  <c r="C13" i="21"/>
  <c r="C37" i="21"/>
  <c r="I29" i="2"/>
  <c r="D13" i="21"/>
  <c r="E15" i="22"/>
  <c r="F35" i="4"/>
  <c r="E13" i="21"/>
  <c r="E37" i="21" s="1"/>
  <c r="E63" i="21" s="1"/>
  <c r="E65" i="21" s="1"/>
  <c r="E67" i="21" s="1"/>
  <c r="L22" i="3"/>
  <c r="L32" i="3" s="1"/>
  <c r="J12" i="2"/>
  <c r="K28" i="3"/>
  <c r="K30" i="3" s="1"/>
  <c r="K33" i="6" s="1"/>
  <c r="K29" i="6"/>
  <c r="K25" i="3"/>
  <c r="K32" i="3"/>
  <c r="M22" i="3"/>
  <c r="M28" i="3" s="1"/>
  <c r="J16" i="21"/>
  <c r="J31" i="4"/>
  <c r="N32" i="4"/>
  <c r="N17" i="21"/>
  <c r="H9" i="21"/>
  <c r="K51" i="3"/>
  <c r="H53" i="21"/>
  <c r="M32" i="2"/>
  <c r="G35" i="21"/>
  <c r="F53" i="21"/>
  <c r="I8" i="21"/>
  <c r="I43" i="4"/>
  <c r="H18" i="21"/>
  <c r="H33" i="4"/>
  <c r="L34" i="4"/>
  <c r="I18" i="2"/>
  <c r="J18" i="2"/>
  <c r="I13" i="2"/>
  <c r="O32" i="2"/>
  <c r="N32" i="2"/>
  <c r="H29" i="21"/>
  <c r="M34" i="4"/>
  <c r="I9" i="21"/>
  <c r="I29" i="21" s="1"/>
  <c r="M23" i="3"/>
  <c r="M29" i="3" s="1"/>
  <c r="M32" i="6"/>
  <c r="M24" i="2"/>
  <c r="K12" i="2"/>
  <c r="L25" i="3"/>
  <c r="D39" i="21"/>
  <c r="D40" i="21"/>
  <c r="D31" i="21"/>
  <c r="D37" i="21"/>
  <c r="D63" i="21" s="1"/>
  <c r="I33" i="4"/>
  <c r="I18" i="21"/>
  <c r="K31" i="4"/>
  <c r="K16" i="21"/>
  <c r="J8" i="21"/>
  <c r="J28" i="21" s="1"/>
  <c r="J43" i="4"/>
  <c r="I53" i="21"/>
  <c r="K25" i="2"/>
  <c r="K54" i="21"/>
  <c r="L32" i="6"/>
  <c r="L24" i="2"/>
  <c r="L23" i="3"/>
  <c r="L29" i="3"/>
  <c r="J25" i="2"/>
  <c r="J54" i="21"/>
  <c r="G17" i="4"/>
  <c r="G28" i="19"/>
  <c r="F17" i="4"/>
  <c r="L51" i="3"/>
  <c r="M25" i="3"/>
  <c r="M24" i="3"/>
  <c r="M26" i="3" s="1"/>
  <c r="E31" i="21"/>
  <c r="E39" i="21"/>
  <c r="J29" i="2"/>
  <c r="L23" i="2"/>
  <c r="F29" i="21"/>
  <c r="F35" i="21"/>
  <c r="K29" i="2"/>
  <c r="M13" i="2"/>
  <c r="M8" i="21"/>
  <c r="M53" i="21" s="1"/>
  <c r="M43" i="4"/>
  <c r="M12" i="2"/>
  <c r="J9" i="21"/>
  <c r="N22" i="3"/>
  <c r="N25" i="3" s="1"/>
  <c r="O34" i="4"/>
  <c r="O22" i="3"/>
  <c r="J18" i="21"/>
  <c r="J33" i="4"/>
  <c r="M25" i="2"/>
  <c r="M54" i="21"/>
  <c r="L25" i="2"/>
  <c r="L54" i="21"/>
  <c r="J17" i="4"/>
  <c r="J28" i="19"/>
  <c r="I17" i="4"/>
  <c r="I28" i="19"/>
  <c r="K18" i="2"/>
  <c r="L16" i="21"/>
  <c r="L31" i="4"/>
  <c r="M51" i="3"/>
  <c r="J53" i="21"/>
  <c r="M23" i="2"/>
  <c r="K8" i="21"/>
  <c r="K53" i="21" s="1"/>
  <c r="K43" i="4"/>
  <c r="J13" i="2"/>
  <c r="I35" i="21"/>
  <c r="N34" i="4"/>
  <c r="L12" i="2"/>
  <c r="J29" i="21"/>
  <c r="K18" i="21"/>
  <c r="K33" i="4"/>
  <c r="L43" i="4"/>
  <c r="L8" i="21"/>
  <c r="L28" i="21" s="1"/>
  <c r="M16" i="21"/>
  <c r="M31" i="4"/>
  <c r="O51" i="3"/>
  <c r="N51" i="3"/>
  <c r="L18" i="2"/>
  <c r="N32" i="6"/>
  <c r="N24" i="2"/>
  <c r="N23" i="3"/>
  <c r="N29" i="3" s="1"/>
  <c r="L29" i="2"/>
  <c r="K13" i="2"/>
  <c r="O23" i="2"/>
  <c r="N23" i="2"/>
  <c r="K28" i="21"/>
  <c r="M9" i="21"/>
  <c r="O23" i="3"/>
  <c r="O29" i="3"/>
  <c r="O32" i="6"/>
  <c r="O24" i="2"/>
  <c r="K9" i="21"/>
  <c r="O29" i="6"/>
  <c r="O25" i="3"/>
  <c r="O28" i="3"/>
  <c r="O30" i="3" s="1"/>
  <c r="O33" i="6" s="1"/>
  <c r="O32" i="3"/>
  <c r="O24" i="3"/>
  <c r="N28" i="3"/>
  <c r="N32" i="3"/>
  <c r="N29" i="6"/>
  <c r="N24" i="3"/>
  <c r="N12" i="2"/>
  <c r="O31" i="4"/>
  <c r="O16" i="21"/>
  <c r="O25" i="2"/>
  <c r="O54" i="21"/>
  <c r="L17" i="4"/>
  <c r="L28" i="19"/>
  <c r="K35" i="21"/>
  <c r="K29" i="21"/>
  <c r="O26" i="3"/>
  <c r="O12" i="2"/>
  <c r="K17" i="4"/>
  <c r="K28" i="19"/>
  <c r="L18" i="21"/>
  <c r="L33" i="4"/>
  <c r="L13" i="2"/>
  <c r="M17" i="4"/>
  <c r="M28" i="19"/>
  <c r="M35" i="21"/>
  <c r="M29" i="2"/>
  <c r="N25" i="2"/>
  <c r="N54" i="21"/>
  <c r="N16" i="21"/>
  <c r="N31" i="4"/>
  <c r="M18" i="2"/>
  <c r="L9" i="21"/>
  <c r="L29" i="21"/>
  <c r="L35" i="21"/>
  <c r="N29" i="2"/>
  <c r="O29" i="2"/>
  <c r="O18" i="2"/>
  <c r="N18" i="2"/>
  <c r="O8" i="21"/>
  <c r="O53" i="21" s="1"/>
  <c r="O43" i="4"/>
  <c r="O30" i="6"/>
  <c r="M18" i="21"/>
  <c r="M33" i="4"/>
  <c r="M29" i="21"/>
  <c r="N8" i="21"/>
  <c r="O28" i="21" s="1"/>
  <c r="N43" i="4"/>
  <c r="N9" i="21"/>
  <c r="O29" i="21" s="1"/>
  <c r="N13" i="2"/>
  <c r="O13" i="2"/>
  <c r="N18" i="21"/>
  <c r="N33" i="4"/>
  <c r="O9" i="21"/>
  <c r="N28" i="21"/>
  <c r="N53" i="21"/>
  <c r="O18" i="21"/>
  <c r="O33" i="4"/>
  <c r="O17" i="4"/>
  <c r="O28" i="19"/>
  <c r="N17" i="4"/>
  <c r="N28" i="19"/>
  <c r="O35" i="21"/>
  <c r="N35" i="21"/>
  <c r="N29" i="21"/>
  <c r="F17" i="2"/>
  <c r="G14" i="13"/>
  <c r="G15" i="13" s="1"/>
  <c r="G17" i="2"/>
  <c r="H14" i="13"/>
  <c r="H17" i="2"/>
  <c r="I14" i="13"/>
  <c r="I15" i="13"/>
  <c r="I37" i="13" s="1"/>
  <c r="I17" i="2"/>
  <c r="J14" i="13"/>
  <c r="J15" i="13"/>
  <c r="J37" i="13"/>
  <c r="J17" i="2"/>
  <c r="K14" i="13"/>
  <c r="K15" i="13"/>
  <c r="K37" i="13"/>
  <c r="K17" i="2"/>
  <c r="L14" i="13"/>
  <c r="L15" i="13"/>
  <c r="L37" i="13" s="1"/>
  <c r="L17" i="2"/>
  <c r="M14" i="13"/>
  <c r="M15" i="13" s="1"/>
  <c r="M37" i="13" s="1"/>
  <c r="M17" i="2"/>
  <c r="N14" i="13"/>
  <c r="N15" i="13" s="1"/>
  <c r="N37" i="13" s="1"/>
  <c r="N37" i="3"/>
  <c r="M37" i="3"/>
  <c r="L37" i="3"/>
  <c r="K37" i="3"/>
  <c r="J37" i="3"/>
  <c r="I37" i="3"/>
  <c r="H37" i="3"/>
  <c r="G37" i="3"/>
  <c r="F37" i="3"/>
  <c r="N17" i="2"/>
  <c r="O14" i="13"/>
  <c r="O15" i="13"/>
  <c r="O37" i="3"/>
  <c r="K22" i="19"/>
  <c r="K23" i="19"/>
  <c r="K25" i="19" s="1"/>
  <c r="K31" i="19" s="1"/>
  <c r="L55" i="21"/>
  <c r="F55" i="21"/>
  <c r="G55" i="21"/>
  <c r="I22" i="19"/>
  <c r="I23" i="19" s="1"/>
  <c r="I25" i="19" s="1"/>
  <c r="I31" i="19" s="1"/>
  <c r="G22" i="19"/>
  <c r="G23" i="19" s="1"/>
  <c r="G25" i="19" s="1"/>
  <c r="G31" i="19" s="1"/>
  <c r="G36" i="19" s="1"/>
  <c r="O22" i="19"/>
  <c r="O23" i="19"/>
  <c r="O25" i="19" s="1"/>
  <c r="O31" i="19" s="1"/>
  <c r="O12" i="4"/>
  <c r="O26" i="19"/>
  <c r="O37" i="13"/>
  <c r="O24" i="4"/>
  <c r="O29" i="19"/>
  <c r="G12" i="4"/>
  <c r="G26" i="19"/>
  <c r="G24" i="4"/>
  <c r="G29" i="19"/>
  <c r="H22" i="19"/>
  <c r="H23" i="19"/>
  <c r="H25" i="19"/>
  <c r="H31" i="19" s="1"/>
  <c r="H12" i="4"/>
  <c r="H26" i="19"/>
  <c r="H24" i="4"/>
  <c r="H29" i="19"/>
  <c r="I12" i="4"/>
  <c r="I26" i="19"/>
  <c r="I24" i="4"/>
  <c r="I29" i="19"/>
  <c r="J22" i="19"/>
  <c r="J23" i="19"/>
  <c r="J25" i="19" s="1"/>
  <c r="J31" i="19" s="1"/>
  <c r="J32" i="19" s="1"/>
  <c r="J12" i="4"/>
  <c r="J26" i="19"/>
  <c r="J24" i="4"/>
  <c r="J29" i="19"/>
  <c r="K12" i="4"/>
  <c r="K26" i="19"/>
  <c r="K24" i="4"/>
  <c r="K29" i="19"/>
  <c r="L22" i="19"/>
  <c r="L23" i="19" s="1"/>
  <c r="L25" i="19" s="1"/>
  <c r="L31" i="19" s="1"/>
  <c r="L12" i="4"/>
  <c r="L26" i="19"/>
  <c r="L24" i="4"/>
  <c r="L29" i="19"/>
  <c r="M22" i="19"/>
  <c r="M23" i="19" s="1"/>
  <c r="M25" i="19" s="1"/>
  <c r="M31" i="19" s="1"/>
  <c r="M12" i="4"/>
  <c r="M26" i="19"/>
  <c r="M24" i="4"/>
  <c r="M29" i="19"/>
  <c r="N22" i="19"/>
  <c r="N23" i="19" s="1"/>
  <c r="N25" i="19" s="1"/>
  <c r="N31" i="19" s="1"/>
  <c r="N12" i="4"/>
  <c r="N26" i="19"/>
  <c r="N24" i="4"/>
  <c r="N29" i="19"/>
  <c r="N10" i="21"/>
  <c r="N12" i="21" s="1"/>
  <c r="M10" i="21"/>
  <c r="M30" i="21" s="1"/>
  <c r="M12" i="21"/>
  <c r="J10" i="21"/>
  <c r="J12" i="21" s="1"/>
  <c r="I10" i="21"/>
  <c r="I30" i="21" s="1"/>
  <c r="I12" i="21"/>
  <c r="F10" i="21"/>
  <c r="F12" i="21" s="1"/>
  <c r="L10" i="21"/>
  <c r="L12" i="21"/>
  <c r="K10" i="21"/>
  <c r="K12" i="21" s="1"/>
  <c r="H10" i="21"/>
  <c r="H30" i="21" s="1"/>
  <c r="H12" i="21"/>
  <c r="G10" i="21"/>
  <c r="G12" i="21" s="1"/>
  <c r="O10" i="21"/>
  <c r="O30" i="21" s="1"/>
  <c r="O12" i="21"/>
  <c r="K34" i="21"/>
  <c r="I34" i="21"/>
  <c r="G34" i="21"/>
  <c r="N55" i="21"/>
  <c r="F34" i="21"/>
  <c r="F12" i="4"/>
  <c r="N34" i="21"/>
  <c r="K25" i="21"/>
  <c r="I55" i="21"/>
  <c r="G25" i="21"/>
  <c r="O17" i="2"/>
  <c r="L26" i="4"/>
  <c r="L25" i="21"/>
  <c r="K36" i="21"/>
  <c r="K30" i="21"/>
  <c r="L30" i="21"/>
  <c r="L36" i="21"/>
  <c r="N36" i="21"/>
  <c r="N30" i="21"/>
  <c r="N26" i="4"/>
  <c r="N25" i="21"/>
  <c r="M34" i="21"/>
  <c r="J25" i="21"/>
  <c r="H25" i="21"/>
  <c r="I25" i="21"/>
  <c r="F30" i="21"/>
  <c r="F36" i="21"/>
  <c r="O36" i="21"/>
  <c r="M36" i="21"/>
  <c r="G30" i="21"/>
  <c r="M25" i="21"/>
  <c r="L34" i="21"/>
  <c r="J34" i="21"/>
  <c r="H34" i="21"/>
  <c r="O25" i="21"/>
  <c r="O34" i="21"/>
  <c r="M55" i="21"/>
  <c r="T43" i="22" l="1"/>
  <c r="S43" i="22"/>
  <c r="U43" i="22"/>
  <c r="U41" i="22"/>
  <c r="T41" i="22"/>
  <c r="S41" i="22"/>
  <c r="S46" i="22" s="1"/>
  <c r="T44" i="22"/>
  <c r="S44" i="22"/>
  <c r="U44" i="22"/>
  <c r="U42" i="22"/>
  <c r="T42" i="22"/>
  <c r="S42" i="22"/>
  <c r="H32" i="22"/>
  <c r="H30" i="22" s="1"/>
  <c r="I32" i="22"/>
  <c r="I30" i="22" s="1"/>
  <c r="J16" i="22"/>
  <c r="T40" i="22"/>
  <c r="K17" i="22"/>
  <c r="K15" i="22" s="1"/>
  <c r="J56" i="22"/>
  <c r="L32" i="19"/>
  <c r="L36" i="19"/>
  <c r="N32" i="19"/>
  <c r="N36" i="19"/>
  <c r="I36" i="19"/>
  <c r="I32" i="19"/>
  <c r="K32" i="19"/>
  <c r="M32" i="19"/>
  <c r="H32" i="19"/>
  <c r="H36" i="19"/>
  <c r="O39" i="19"/>
  <c r="F41" i="19" s="1"/>
  <c r="O32" i="19"/>
  <c r="M36" i="19"/>
  <c r="J36" i="19"/>
  <c r="K36" i="19"/>
  <c r="O36" i="19"/>
  <c r="D65" i="21"/>
  <c r="D67" i="21" s="1"/>
  <c r="C59" i="21"/>
  <c r="C21" i="21"/>
  <c r="D43" i="21"/>
  <c r="E43" i="21"/>
  <c r="E41" i="21"/>
  <c r="E42" i="21"/>
  <c r="J36" i="21"/>
  <c r="I28" i="21"/>
  <c r="H28" i="21"/>
  <c r="E36" i="21"/>
  <c r="J55" i="21"/>
  <c r="G36" i="21"/>
  <c r="J30" i="21"/>
  <c r="H36" i="21"/>
  <c r="I36" i="21"/>
  <c r="O55" i="21"/>
  <c r="M28" i="21"/>
  <c r="L53" i="21"/>
  <c r="J35" i="21"/>
  <c r="E40" i="21"/>
  <c r="C36" i="21"/>
  <c r="E55" i="21"/>
  <c r="D55" i="21"/>
  <c r="H55" i="21"/>
  <c r="K55" i="21"/>
  <c r="F28" i="21"/>
  <c r="O26" i="4"/>
  <c r="D38" i="2"/>
  <c r="D35" i="3"/>
  <c r="D39" i="3" s="1"/>
  <c r="D46" i="3" s="1"/>
  <c r="D12" i="6"/>
  <c r="O35" i="3"/>
  <c r="O39" i="3" s="1"/>
  <c r="N30" i="3"/>
  <c r="N33" i="6" s="1"/>
  <c r="M30" i="6"/>
  <c r="K30" i="6"/>
  <c r="K34" i="6" s="1"/>
  <c r="K35" i="3"/>
  <c r="K39" i="3" s="1"/>
  <c r="E12" i="6"/>
  <c r="E35" i="3"/>
  <c r="E39" i="3" s="1"/>
  <c r="E46" i="3" s="1"/>
  <c r="N26" i="3"/>
  <c r="M30" i="3"/>
  <c r="M33" i="6" s="1"/>
  <c r="F30" i="6"/>
  <c r="F35" i="3"/>
  <c r="F39" i="3" s="1"/>
  <c r="H33" i="6"/>
  <c r="H35" i="3"/>
  <c r="H39" i="3" s="1"/>
  <c r="I30" i="3"/>
  <c r="I33" i="6" s="1"/>
  <c r="C12" i="6"/>
  <c r="C35" i="3"/>
  <c r="C39" i="3" s="1"/>
  <c r="C46" i="3" s="1"/>
  <c r="G29" i="6"/>
  <c r="L28" i="3"/>
  <c r="L30" i="3" s="1"/>
  <c r="L33" i="6" s="1"/>
  <c r="M32" i="3"/>
  <c r="M35" i="3" s="1"/>
  <c r="M39" i="3" s="1"/>
  <c r="L29" i="6"/>
  <c r="J25" i="3"/>
  <c r="I24" i="3"/>
  <c r="I29" i="6"/>
  <c r="G28" i="3"/>
  <c r="G30" i="3" s="1"/>
  <c r="G33" i="6" s="1"/>
  <c r="O34" i="6"/>
  <c r="L24" i="3"/>
  <c r="L26" i="3" s="1"/>
  <c r="M29" i="6"/>
  <c r="M34" i="6" s="1"/>
  <c r="J24" i="3"/>
  <c r="J26" i="3" s="1"/>
  <c r="J32" i="3"/>
  <c r="F34" i="6"/>
  <c r="H34" i="6"/>
  <c r="I25" i="3"/>
  <c r="G24" i="3"/>
  <c r="G26" i="3" s="1"/>
  <c r="G32" i="3"/>
  <c r="H23" i="14"/>
  <c r="G33" i="14"/>
  <c r="H31" i="14"/>
  <c r="G25" i="14"/>
  <c r="H27" i="14"/>
  <c r="G37" i="13"/>
  <c r="D21" i="13" a="1"/>
  <c r="J37" i="10"/>
  <c r="J39" i="10" s="1"/>
  <c r="J41" i="10" s="1"/>
  <c r="G29" i="10"/>
  <c r="G30" i="10" s="1"/>
  <c r="F30" i="10"/>
  <c r="F31" i="10" s="1"/>
  <c r="F43" i="10" s="1"/>
  <c r="I24" i="10"/>
  <c r="I26" i="10" s="1"/>
  <c r="I28" i="10" s="1"/>
  <c r="I37" i="10"/>
  <c r="I39" i="10" s="1"/>
  <c r="I41" i="10" s="1"/>
  <c r="M24" i="10"/>
  <c r="M26" i="10" s="1"/>
  <c r="M28" i="10" s="1"/>
  <c r="O41" i="10"/>
  <c r="N22" i="10"/>
  <c r="O24" i="10" s="1"/>
  <c r="O26" i="10" s="1"/>
  <c r="O28" i="10" s="1"/>
  <c r="H22" i="10"/>
  <c r="H24" i="10" s="1"/>
  <c r="H26" i="10" s="1"/>
  <c r="H28" i="10" s="1"/>
  <c r="H41" i="10"/>
  <c r="G41" i="10"/>
  <c r="N39" i="10"/>
  <c r="N41" i="10" s="1"/>
  <c r="K37" i="10"/>
  <c r="K39" i="10" s="1"/>
  <c r="K41" i="10" s="1"/>
  <c r="F42" i="19" l="1"/>
  <c r="F43" i="19" s="1"/>
  <c r="G41" i="19" s="1"/>
  <c r="S47" i="22"/>
  <c r="S45" i="22" s="1"/>
  <c r="T46" i="22"/>
  <c r="T47" i="22"/>
  <c r="T45" i="22" s="1"/>
  <c r="U46" i="22"/>
  <c r="U47" i="22"/>
  <c r="U45" i="22" s="1"/>
  <c r="O45" i="22" s="1"/>
  <c r="D41" i="21"/>
  <c r="C22" i="21"/>
  <c r="D42" i="21" s="1"/>
  <c r="N30" i="6"/>
  <c r="N34" i="6" s="1"/>
  <c r="N35" i="3"/>
  <c r="N39" i="3" s="1"/>
  <c r="G35" i="3"/>
  <c r="G39" i="3" s="1"/>
  <c r="G30" i="6"/>
  <c r="G34" i="6" s="1"/>
  <c r="L30" i="6"/>
  <c r="L35" i="3"/>
  <c r="L39" i="3" s="1"/>
  <c r="I26" i="3"/>
  <c r="E49" i="3"/>
  <c r="E19" i="3"/>
  <c r="J30" i="6"/>
  <c r="J34" i="6" s="1"/>
  <c r="J35" i="3"/>
  <c r="J39" i="3" s="1"/>
  <c r="D49" i="3"/>
  <c r="D52" i="3" s="1"/>
  <c r="D53" i="14" s="1"/>
  <c r="D19" i="3"/>
  <c r="L34" i="6"/>
  <c r="C49" i="3"/>
  <c r="C52" i="3" s="1"/>
  <c r="C53" i="14" s="1"/>
  <c r="C19" i="3"/>
  <c r="I23" i="14"/>
  <c r="I31" i="14"/>
  <c r="I33" i="14"/>
  <c r="H33" i="14"/>
  <c r="H29" i="14"/>
  <c r="I27" i="14"/>
  <c r="I29" i="14" s="1"/>
  <c r="H25" i="14"/>
  <c r="D24" i="13"/>
  <c r="D27" i="13"/>
  <c r="D28" i="13"/>
  <c r="D21" i="13"/>
  <c r="D25" i="13"/>
  <c r="D26" i="13"/>
  <c r="D30" i="13"/>
  <c r="O30" i="13" s="1"/>
  <c r="D22" i="13"/>
  <c r="D29" i="13"/>
  <c r="D23" i="13"/>
  <c r="G31" i="10"/>
  <c r="G43" i="10" s="1"/>
  <c r="G32" i="10"/>
  <c r="N24" i="10"/>
  <c r="N26" i="10" s="1"/>
  <c r="N28" i="10" s="1"/>
  <c r="F32" i="10"/>
  <c r="H30" i="10"/>
  <c r="H32" i="10" s="1"/>
  <c r="H29" i="10"/>
  <c r="F25" i="6" l="1"/>
  <c r="E52" i="3"/>
  <c r="E53" i="14" s="1"/>
  <c r="I30" i="6"/>
  <c r="I34" i="6" s="1"/>
  <c r="I35" i="3"/>
  <c r="I39" i="3" s="1"/>
  <c r="J31" i="14"/>
  <c r="J33" i="14"/>
  <c r="J23" i="14"/>
  <c r="J25" i="14"/>
  <c r="J27" i="14"/>
  <c r="J29" i="14"/>
  <c r="I25" i="14"/>
  <c r="J22" i="13"/>
  <c r="K22" i="13"/>
  <c r="I22" i="13"/>
  <c r="L22" i="13"/>
  <c r="O22" i="13"/>
  <c r="N22" i="13"/>
  <c r="G22" i="13"/>
  <c r="H22" i="13"/>
  <c r="M22" i="13"/>
  <c r="N21" i="13"/>
  <c r="I21" i="13"/>
  <c r="L21" i="13"/>
  <c r="L31" i="13" s="1"/>
  <c r="L33" i="13" s="1"/>
  <c r="L38" i="13" s="1"/>
  <c r="O21" i="13"/>
  <c r="M21" i="13"/>
  <c r="J21" i="13"/>
  <c r="J31" i="13" s="1"/>
  <c r="J33" i="13" s="1"/>
  <c r="J38" i="13" s="1"/>
  <c r="K21" i="13"/>
  <c r="F21" i="13"/>
  <c r="F31" i="13" s="1"/>
  <c r="F33" i="13" s="1"/>
  <c r="F38" i="13" s="1"/>
  <c r="F39" i="13" s="1"/>
  <c r="G36" i="13" s="1"/>
  <c r="G21" i="13"/>
  <c r="H21" i="13"/>
  <c r="N28" i="13"/>
  <c r="O28" i="13"/>
  <c r="M28" i="13"/>
  <c r="H23" i="13"/>
  <c r="M23" i="13"/>
  <c r="N23" i="13"/>
  <c r="J23" i="13"/>
  <c r="K23" i="13"/>
  <c r="I23" i="13"/>
  <c r="L23" i="13"/>
  <c r="O23" i="13"/>
  <c r="N26" i="13"/>
  <c r="K26" i="13"/>
  <c r="M26" i="13"/>
  <c r="L26" i="13"/>
  <c r="O26" i="13"/>
  <c r="M27" i="13"/>
  <c r="O27" i="13"/>
  <c r="N27" i="13"/>
  <c r="L27" i="13"/>
  <c r="O29" i="13"/>
  <c r="N29" i="13"/>
  <c r="N25" i="13"/>
  <c r="L25" i="13"/>
  <c r="O25" i="13"/>
  <c r="M25" i="13"/>
  <c r="J25" i="13"/>
  <c r="K25" i="13"/>
  <c r="N24" i="13"/>
  <c r="M24" i="13"/>
  <c r="J24" i="13"/>
  <c r="K24" i="13"/>
  <c r="I24" i="13"/>
  <c r="L24" i="13"/>
  <c r="O24" i="13"/>
  <c r="H31" i="10"/>
  <c r="H43" i="10" s="1"/>
  <c r="I29" i="10"/>
  <c r="I30" i="10"/>
  <c r="G42" i="19"/>
  <c r="K23" i="14" l="1"/>
  <c r="K25" i="14"/>
  <c r="K27" i="14"/>
  <c r="K29" i="14"/>
  <c r="K31" i="14"/>
  <c r="H31" i="13"/>
  <c r="H33" i="13" s="1"/>
  <c r="H38" i="13" s="1"/>
  <c r="I31" i="13"/>
  <c r="I33" i="13" s="1"/>
  <c r="I38" i="13" s="1"/>
  <c r="G31" i="13"/>
  <c r="G33" i="13" s="1"/>
  <c r="G38" i="13" s="1"/>
  <c r="M31" i="13"/>
  <c r="M33" i="13" s="1"/>
  <c r="M38" i="13" s="1"/>
  <c r="N31" i="13"/>
  <c r="N33" i="13" s="1"/>
  <c r="N38" i="13" s="1"/>
  <c r="K31" i="13"/>
  <c r="K33" i="13" s="1"/>
  <c r="K38" i="13" s="1"/>
  <c r="G39" i="13"/>
  <c r="H36" i="13" s="1"/>
  <c r="O31" i="13"/>
  <c r="O33" i="13" s="1"/>
  <c r="O38" i="13" s="1"/>
  <c r="I31" i="10"/>
  <c r="I43" i="10" s="1"/>
  <c r="I32" i="10"/>
  <c r="J29" i="10"/>
  <c r="J30" i="10"/>
  <c r="L27" i="14" l="1"/>
  <c r="L29" i="14"/>
  <c r="L33" i="14"/>
  <c r="L31" i="14"/>
  <c r="K33" i="14"/>
  <c r="L23" i="14"/>
  <c r="H39" i="13"/>
  <c r="I36" i="13" s="1"/>
  <c r="I39" i="13" s="1"/>
  <c r="J36" i="13" s="1"/>
  <c r="J39" i="13" s="1"/>
  <c r="K36" i="13" s="1"/>
  <c r="K39" i="13" s="1"/>
  <c r="L36" i="13" s="1"/>
  <c r="L39" i="13" s="1"/>
  <c r="M36" i="13" s="1"/>
  <c r="M39" i="13" s="1"/>
  <c r="N36" i="13" s="1"/>
  <c r="N39" i="13" s="1"/>
  <c r="O36" i="13" s="1"/>
  <c r="O39" i="13" s="1"/>
  <c r="J31" i="10"/>
  <c r="J43" i="10" s="1"/>
  <c r="J32" i="10"/>
  <c r="K29" i="10"/>
  <c r="K30" i="10"/>
  <c r="M23" i="14" l="1"/>
  <c r="L25" i="14"/>
  <c r="M27" i="14"/>
  <c r="M31" i="14"/>
  <c r="K31" i="10"/>
  <c r="K43" i="10" s="1"/>
  <c r="K32" i="10"/>
  <c r="L29" i="10"/>
  <c r="L30" i="10"/>
  <c r="N31" i="14" l="1"/>
  <c r="N33" i="14"/>
  <c r="M33" i="14"/>
  <c r="N23" i="14"/>
  <c r="N25" i="14"/>
  <c r="N27" i="14"/>
  <c r="N29" i="14"/>
  <c r="M25" i="14"/>
  <c r="M29" i="14"/>
  <c r="L32" i="10"/>
  <c r="L31" i="10"/>
  <c r="L43" i="10" s="1"/>
  <c r="M29" i="10"/>
  <c r="O27" i="14" l="1"/>
  <c r="O29" i="14"/>
  <c r="O31" i="14"/>
  <c r="O33" i="14" s="1"/>
  <c r="O23" i="14"/>
  <c r="O25" i="14" s="1"/>
  <c r="N29" i="10"/>
  <c r="M30" i="10"/>
  <c r="O30" i="10" l="1"/>
  <c r="O29" i="10"/>
  <c r="M31" i="10"/>
  <c r="M43" i="10" s="1"/>
  <c r="M32" i="10"/>
  <c r="N30" i="10"/>
  <c r="N31" i="10" l="1"/>
  <c r="N43" i="10" s="1"/>
  <c r="N32" i="10"/>
  <c r="O31" i="10"/>
  <c r="O43" i="10" s="1"/>
  <c r="O32" i="10"/>
  <c r="F11" i="2" l="1"/>
  <c r="G11" i="2"/>
  <c r="H11" i="2"/>
  <c r="I11" i="2"/>
  <c r="J11" i="2"/>
  <c r="K11" i="2"/>
  <c r="L11" i="2"/>
  <c r="M11" i="2"/>
  <c r="N11" i="2"/>
  <c r="O11" i="2"/>
  <c r="F14" i="2"/>
  <c r="G14" i="2"/>
  <c r="H14" i="2"/>
  <c r="I14" i="2"/>
  <c r="J14" i="2"/>
  <c r="K14" i="2"/>
  <c r="L14" i="2"/>
  <c r="M14" i="2"/>
  <c r="N14" i="2"/>
  <c r="O14" i="2"/>
  <c r="F19" i="2"/>
  <c r="G19" i="2"/>
  <c r="H19" i="2"/>
  <c r="I19" i="2"/>
  <c r="J19" i="2"/>
  <c r="K19" i="2"/>
  <c r="L19" i="2"/>
  <c r="M19" i="2"/>
  <c r="N19" i="2"/>
  <c r="O19" i="2"/>
  <c r="F22" i="2"/>
  <c r="G22" i="2"/>
  <c r="H22" i="2"/>
  <c r="I22" i="2"/>
  <c r="J22" i="2"/>
  <c r="K22" i="2"/>
  <c r="L22" i="2"/>
  <c r="M22" i="2"/>
  <c r="N22" i="2"/>
  <c r="O22" i="2"/>
  <c r="F26" i="2"/>
  <c r="G26" i="2"/>
  <c r="H26" i="2"/>
  <c r="I26" i="2"/>
  <c r="J26" i="2"/>
  <c r="K26" i="2"/>
  <c r="L26" i="2"/>
  <c r="M26" i="2"/>
  <c r="N26" i="2"/>
  <c r="O26" i="2"/>
  <c r="F30" i="2"/>
  <c r="G30" i="2"/>
  <c r="H30" i="2"/>
  <c r="I30" i="2"/>
  <c r="J30" i="2"/>
  <c r="K30" i="2"/>
  <c r="L30" i="2"/>
  <c r="M30" i="2"/>
  <c r="N30" i="2"/>
  <c r="O30" i="2"/>
  <c r="F33" i="2"/>
  <c r="G33" i="2"/>
  <c r="H33" i="2"/>
  <c r="I33" i="2"/>
  <c r="J33" i="2"/>
  <c r="K33" i="2"/>
  <c r="L33" i="2"/>
  <c r="M33" i="2"/>
  <c r="N33" i="2"/>
  <c r="O33" i="2"/>
  <c r="F34" i="2"/>
  <c r="G34" i="2"/>
  <c r="H34" i="2"/>
  <c r="I34" i="2"/>
  <c r="J34" i="2"/>
  <c r="K34" i="2"/>
  <c r="L34" i="2"/>
  <c r="M34" i="2"/>
  <c r="N34" i="2"/>
  <c r="O34" i="2"/>
  <c r="F36" i="2"/>
  <c r="G36" i="2"/>
  <c r="H36" i="2"/>
  <c r="I36" i="2"/>
  <c r="J36" i="2"/>
  <c r="K36" i="2"/>
  <c r="L36" i="2"/>
  <c r="M36" i="2"/>
  <c r="N36" i="2"/>
  <c r="O36" i="2"/>
  <c r="F38" i="2"/>
  <c r="G38" i="2"/>
  <c r="H38" i="2"/>
  <c r="I38" i="2"/>
  <c r="J38" i="2"/>
  <c r="K38" i="2"/>
  <c r="L38" i="2"/>
  <c r="M38" i="2"/>
  <c r="N38" i="2"/>
  <c r="O38" i="2"/>
  <c r="G23" i="6"/>
  <c r="H23" i="6"/>
  <c r="I23" i="6"/>
  <c r="J23" i="6"/>
  <c r="K23" i="6"/>
  <c r="L23" i="6"/>
  <c r="M23" i="6"/>
  <c r="N23" i="6"/>
  <c r="O23" i="6"/>
  <c r="F24" i="6"/>
  <c r="G24" i="6"/>
  <c r="H24" i="6"/>
  <c r="I24" i="6"/>
  <c r="J24" i="6"/>
  <c r="K24" i="6"/>
  <c r="L24" i="6"/>
  <c r="M24" i="6"/>
  <c r="N24" i="6"/>
  <c r="O24" i="6"/>
  <c r="G25" i="6"/>
  <c r="H25" i="6"/>
  <c r="I25" i="6"/>
  <c r="J25" i="6"/>
  <c r="K25" i="6"/>
  <c r="L25" i="6"/>
  <c r="M25" i="6"/>
  <c r="N25" i="6"/>
  <c r="O25" i="6"/>
  <c r="F26" i="6"/>
  <c r="G26" i="6"/>
  <c r="H26" i="6"/>
  <c r="I26" i="6"/>
  <c r="J26" i="6"/>
  <c r="K26" i="6"/>
  <c r="L26" i="6"/>
  <c r="M26" i="6"/>
  <c r="N26" i="6"/>
  <c r="O26" i="6"/>
  <c r="F11" i="4"/>
  <c r="G11" i="4"/>
  <c r="H11" i="4"/>
  <c r="I11" i="4"/>
  <c r="J11" i="4"/>
  <c r="K11" i="4"/>
  <c r="L11" i="4"/>
  <c r="M11" i="4"/>
  <c r="N11" i="4"/>
  <c r="O11" i="4"/>
  <c r="F14" i="4"/>
  <c r="G14" i="4"/>
  <c r="H14" i="4"/>
  <c r="I14" i="4"/>
  <c r="J14" i="4"/>
  <c r="K14" i="4"/>
  <c r="L14" i="4"/>
  <c r="M14" i="4"/>
  <c r="N14" i="4"/>
  <c r="O14" i="4"/>
  <c r="F18" i="4"/>
  <c r="G18" i="4"/>
  <c r="H18" i="4"/>
  <c r="I18" i="4"/>
  <c r="J18" i="4"/>
  <c r="K18" i="4"/>
  <c r="L18" i="4"/>
  <c r="M18" i="4"/>
  <c r="N18" i="4"/>
  <c r="O18" i="4"/>
  <c r="G29" i="4"/>
  <c r="H29" i="4"/>
  <c r="I29" i="4"/>
  <c r="J29" i="4"/>
  <c r="K29" i="4"/>
  <c r="L29" i="4"/>
  <c r="M29" i="4"/>
  <c r="N29" i="4"/>
  <c r="O29" i="4"/>
  <c r="F30" i="4"/>
  <c r="G30" i="4"/>
  <c r="H30" i="4"/>
  <c r="I30" i="4"/>
  <c r="J30" i="4"/>
  <c r="K30" i="4"/>
  <c r="L30" i="4"/>
  <c r="M30" i="4"/>
  <c r="N30" i="4"/>
  <c r="O30" i="4"/>
  <c r="G35" i="4"/>
  <c r="H35" i="4"/>
  <c r="I35" i="4"/>
  <c r="J35" i="4"/>
  <c r="K35" i="4"/>
  <c r="L35" i="4"/>
  <c r="M35" i="4"/>
  <c r="N35" i="4"/>
  <c r="O35" i="4"/>
  <c r="F36" i="4"/>
  <c r="G36" i="4"/>
  <c r="H36" i="4"/>
  <c r="I36" i="4"/>
  <c r="J36" i="4"/>
  <c r="K36" i="4"/>
  <c r="L36" i="4"/>
  <c r="M36" i="4"/>
  <c r="N36" i="4"/>
  <c r="O36" i="4"/>
  <c r="F38" i="4"/>
  <c r="G38" i="4"/>
  <c r="H38" i="4"/>
  <c r="I38" i="4"/>
  <c r="J38" i="4"/>
  <c r="K38" i="4"/>
  <c r="L38" i="4"/>
  <c r="M38" i="4"/>
  <c r="N38" i="4"/>
  <c r="O38" i="4"/>
  <c r="G39" i="4"/>
  <c r="H39" i="4"/>
  <c r="I39" i="4"/>
  <c r="J39" i="4"/>
  <c r="K39" i="4"/>
  <c r="L39" i="4"/>
  <c r="M39" i="4"/>
  <c r="N39" i="4"/>
  <c r="O39" i="4"/>
  <c r="F40" i="4"/>
  <c r="G40" i="4"/>
  <c r="H40" i="4"/>
  <c r="I40" i="4"/>
  <c r="J40" i="4"/>
  <c r="K40" i="4"/>
  <c r="L40" i="4"/>
  <c r="M40" i="4"/>
  <c r="N40" i="4"/>
  <c r="O40" i="4"/>
  <c r="F44" i="4"/>
  <c r="G44" i="4"/>
  <c r="H44" i="4"/>
  <c r="I44" i="4"/>
  <c r="J44" i="4"/>
  <c r="K44" i="4"/>
  <c r="L44" i="4"/>
  <c r="M44" i="4"/>
  <c r="N44" i="4"/>
  <c r="O44" i="4"/>
  <c r="F45" i="4"/>
  <c r="G45" i="4"/>
  <c r="H45" i="4"/>
  <c r="I45" i="4"/>
  <c r="J45" i="4"/>
  <c r="K45" i="4"/>
  <c r="L45" i="4"/>
  <c r="M45" i="4"/>
  <c r="N45" i="4"/>
  <c r="O45" i="4"/>
  <c r="F46" i="4"/>
  <c r="G46" i="4"/>
  <c r="H46" i="4"/>
  <c r="I46" i="4"/>
  <c r="J46" i="4"/>
  <c r="K46" i="4"/>
  <c r="L46" i="4"/>
  <c r="M46" i="4"/>
  <c r="N46" i="4"/>
  <c r="O46" i="4"/>
  <c r="C15" i="22"/>
  <c r="G15" i="22"/>
  <c r="H15" i="22"/>
  <c r="C20" i="22"/>
  <c r="E20" i="22"/>
  <c r="C30" i="22"/>
  <c r="F30" i="22"/>
  <c r="G30" i="22"/>
  <c r="C35" i="22"/>
  <c r="E35" i="22"/>
  <c r="C45" i="22"/>
  <c r="F45" i="22"/>
  <c r="J45" i="22"/>
  <c r="M45" i="22"/>
  <c r="C50" i="22"/>
  <c r="E50" i="22"/>
  <c r="H53" i="22"/>
  <c r="I53" i="22"/>
  <c r="J53" i="22"/>
  <c r="H54" i="22"/>
  <c r="I54" i="22"/>
  <c r="J54" i="22"/>
  <c r="C55" i="22"/>
  <c r="E55" i="22"/>
  <c r="H55" i="22"/>
  <c r="I55" i="22"/>
  <c r="J55" i="22"/>
  <c r="C56" i="22"/>
  <c r="E56" i="22"/>
  <c r="C57" i="22"/>
  <c r="E57" i="22"/>
  <c r="H57" i="22"/>
  <c r="I57" i="22"/>
  <c r="J57" i="22"/>
  <c r="C59" i="22"/>
  <c r="E59" i="22"/>
  <c r="F45" i="19"/>
  <c r="F47" i="19"/>
  <c r="F48" i="19"/>
  <c r="F51" i="19"/>
  <c r="C55" i="19"/>
  <c r="F19" i="14"/>
  <c r="G19" i="14"/>
  <c r="H19" i="14"/>
  <c r="I19" i="14"/>
  <c r="J19" i="14"/>
  <c r="K19" i="14"/>
  <c r="L19" i="14"/>
  <c r="M19" i="14"/>
  <c r="N19" i="14"/>
  <c r="O19" i="14"/>
  <c r="F21" i="14"/>
  <c r="G21" i="14"/>
  <c r="H21" i="14"/>
  <c r="I21" i="14"/>
  <c r="J21" i="14"/>
  <c r="K21" i="14"/>
  <c r="L21" i="14"/>
  <c r="M21" i="14"/>
  <c r="N21" i="14"/>
  <c r="O21" i="14"/>
  <c r="F35" i="14"/>
  <c r="G35" i="14"/>
  <c r="H35" i="14"/>
  <c r="I35" i="14"/>
  <c r="J35" i="14"/>
  <c r="K35" i="14"/>
  <c r="L35" i="14"/>
  <c r="M35" i="14"/>
  <c r="N35" i="14"/>
  <c r="O35" i="14"/>
  <c r="F36" i="14"/>
  <c r="G36" i="14"/>
  <c r="H36" i="14"/>
  <c r="I36" i="14"/>
  <c r="J36" i="14"/>
  <c r="K36" i="14"/>
  <c r="L36" i="14"/>
  <c r="M36" i="14"/>
  <c r="N36" i="14"/>
  <c r="O36" i="14"/>
  <c r="F38" i="14"/>
  <c r="G38" i="14"/>
  <c r="H38" i="14"/>
  <c r="I38" i="14"/>
  <c r="J38" i="14"/>
  <c r="K38" i="14"/>
  <c r="L38" i="14"/>
  <c r="M38" i="14"/>
  <c r="N38" i="14"/>
  <c r="O38" i="14"/>
  <c r="F40" i="14"/>
  <c r="G40" i="14"/>
  <c r="H40" i="14"/>
  <c r="I40" i="14"/>
  <c r="J40" i="14"/>
  <c r="K40" i="14"/>
  <c r="L40" i="14"/>
  <c r="M40" i="14"/>
  <c r="N40" i="14"/>
  <c r="O40" i="14"/>
  <c r="F42" i="14"/>
  <c r="G42" i="14"/>
  <c r="H42" i="14"/>
  <c r="I42" i="14"/>
  <c r="J42" i="14"/>
  <c r="K42" i="14"/>
  <c r="L42" i="14"/>
  <c r="M42" i="14"/>
  <c r="N42" i="14"/>
  <c r="O42" i="14"/>
  <c r="F51" i="14"/>
  <c r="G51" i="14"/>
  <c r="H51" i="14"/>
  <c r="I51" i="14"/>
  <c r="J51" i="14"/>
  <c r="K51" i="14"/>
  <c r="L51" i="14"/>
  <c r="M51" i="14"/>
  <c r="N51" i="14"/>
  <c r="O51" i="14"/>
  <c r="F52" i="14"/>
  <c r="G52" i="14"/>
  <c r="H52" i="14"/>
  <c r="I52" i="14"/>
  <c r="J52" i="14"/>
  <c r="K52" i="14"/>
  <c r="L52" i="14"/>
  <c r="M52" i="14"/>
  <c r="N52" i="14"/>
  <c r="O52" i="14"/>
  <c r="F53" i="14"/>
  <c r="G53" i="14"/>
  <c r="H53" i="14"/>
  <c r="I53" i="14"/>
  <c r="J53" i="14"/>
  <c r="K53" i="14"/>
  <c r="L53" i="14"/>
  <c r="M53" i="14"/>
  <c r="N53" i="14"/>
  <c r="O53" i="14"/>
  <c r="F41" i="3"/>
  <c r="G41" i="3"/>
  <c r="H41" i="3"/>
  <c r="I41" i="3"/>
  <c r="J41" i="3"/>
  <c r="K41" i="3"/>
  <c r="L41" i="3"/>
  <c r="M41" i="3"/>
  <c r="N41" i="3"/>
  <c r="O41" i="3"/>
  <c r="F46" i="3"/>
  <c r="G46" i="3"/>
  <c r="H46" i="3"/>
  <c r="I46" i="3"/>
  <c r="J46" i="3"/>
  <c r="K46" i="3"/>
  <c r="L46" i="3"/>
  <c r="M46" i="3"/>
  <c r="N46" i="3"/>
  <c r="O46" i="3"/>
  <c r="F48" i="3"/>
  <c r="G48" i="3"/>
  <c r="H48" i="3"/>
  <c r="I48" i="3"/>
  <c r="J48" i="3"/>
  <c r="K48" i="3"/>
  <c r="L48" i="3"/>
  <c r="M48" i="3"/>
  <c r="N48" i="3"/>
  <c r="O48" i="3"/>
  <c r="F49" i="3"/>
  <c r="G49" i="3"/>
  <c r="H49" i="3"/>
  <c r="I49" i="3"/>
  <c r="J49" i="3"/>
  <c r="K49" i="3"/>
  <c r="L49" i="3"/>
  <c r="M49" i="3"/>
  <c r="N49" i="3"/>
  <c r="O49" i="3"/>
  <c r="F52" i="3"/>
  <c r="G52" i="3"/>
  <c r="H52" i="3"/>
  <c r="I52" i="3"/>
  <c r="J52" i="3"/>
  <c r="K52" i="3"/>
  <c r="L52" i="3"/>
  <c r="M52" i="3"/>
  <c r="N52" i="3"/>
  <c r="O52" i="3"/>
  <c r="F13" i="21"/>
  <c r="G13" i="21"/>
  <c r="H13" i="21"/>
  <c r="I13" i="21"/>
  <c r="J13" i="21"/>
  <c r="K13" i="21"/>
  <c r="L13" i="21"/>
  <c r="M13" i="21"/>
  <c r="N13" i="21"/>
  <c r="O13" i="21"/>
  <c r="F14" i="21"/>
  <c r="G14" i="21"/>
  <c r="H14" i="21"/>
  <c r="I14" i="21"/>
  <c r="J14" i="21"/>
  <c r="K14" i="21"/>
  <c r="L14" i="21"/>
  <c r="M14" i="21"/>
  <c r="N14" i="21"/>
  <c r="O14" i="21"/>
  <c r="F15" i="21"/>
  <c r="G15" i="21"/>
  <c r="H15" i="21"/>
  <c r="I15" i="21"/>
  <c r="J15" i="21"/>
  <c r="K15" i="21"/>
  <c r="L15" i="21"/>
  <c r="M15" i="21"/>
  <c r="N15" i="21"/>
  <c r="O15" i="21"/>
  <c r="F19" i="21"/>
  <c r="G19" i="21"/>
  <c r="H19" i="21"/>
  <c r="I19" i="21"/>
  <c r="J19" i="21"/>
  <c r="K19" i="21"/>
  <c r="L19" i="21"/>
  <c r="M19" i="21"/>
  <c r="N19" i="21"/>
  <c r="O19" i="21"/>
  <c r="F20" i="21"/>
  <c r="G20" i="21"/>
  <c r="H20" i="21"/>
  <c r="I20" i="21"/>
  <c r="J20" i="21"/>
  <c r="K20" i="21"/>
  <c r="L20" i="21"/>
  <c r="M20" i="21"/>
  <c r="N20" i="21"/>
  <c r="O20" i="21"/>
  <c r="F21" i="21"/>
  <c r="G21" i="21"/>
  <c r="H21" i="21"/>
  <c r="I21" i="21"/>
  <c r="J21" i="21"/>
  <c r="K21" i="21"/>
  <c r="L21" i="21"/>
  <c r="M21" i="21"/>
  <c r="N21" i="21"/>
  <c r="O21" i="21"/>
  <c r="F22" i="21"/>
  <c r="G22" i="21"/>
  <c r="H22" i="21"/>
  <c r="I22" i="21"/>
  <c r="J22" i="21"/>
  <c r="K22" i="21"/>
  <c r="L22" i="21"/>
  <c r="M22" i="21"/>
  <c r="N22" i="21"/>
  <c r="O22" i="21"/>
  <c r="F23" i="21"/>
  <c r="G23" i="21"/>
  <c r="H23" i="21"/>
  <c r="I23" i="21"/>
  <c r="J23" i="21"/>
  <c r="K23" i="21"/>
  <c r="L23" i="21"/>
  <c r="M23" i="21"/>
  <c r="N23" i="21"/>
  <c r="O23" i="21"/>
  <c r="F24" i="21"/>
  <c r="G24" i="21"/>
  <c r="H24" i="21"/>
  <c r="I24" i="21"/>
  <c r="J24" i="21"/>
  <c r="K24" i="21"/>
  <c r="L24" i="21"/>
  <c r="M24" i="21"/>
  <c r="N24" i="21"/>
  <c r="O24" i="21"/>
  <c r="F31" i="21"/>
  <c r="G31" i="21"/>
  <c r="H31" i="21"/>
  <c r="I31" i="21"/>
  <c r="J31" i="21"/>
  <c r="K31" i="21"/>
  <c r="L31" i="21"/>
  <c r="M31" i="21"/>
  <c r="N31" i="21"/>
  <c r="O31" i="21"/>
  <c r="F37" i="21"/>
  <c r="G37" i="21"/>
  <c r="H37" i="21"/>
  <c r="I37" i="21"/>
  <c r="J37" i="21"/>
  <c r="K37" i="21"/>
  <c r="L37" i="21"/>
  <c r="M37" i="21"/>
  <c r="N37" i="21"/>
  <c r="O37" i="21"/>
  <c r="F39" i="21"/>
  <c r="G39" i="21"/>
  <c r="H39" i="21"/>
  <c r="I39" i="21"/>
  <c r="J39" i="21"/>
  <c r="K39" i="21"/>
  <c r="L39" i="21"/>
  <c r="M39" i="21"/>
  <c r="N39" i="21"/>
  <c r="O39" i="21"/>
  <c r="F40" i="21"/>
  <c r="G40" i="21"/>
  <c r="H40" i="21"/>
  <c r="I40" i="21"/>
  <c r="J40" i="21"/>
  <c r="K40" i="21"/>
  <c r="L40" i="21"/>
  <c r="M40" i="21"/>
  <c r="N40" i="21"/>
  <c r="O40" i="21"/>
  <c r="F41" i="21"/>
  <c r="G41" i="21"/>
  <c r="H41" i="21"/>
  <c r="I41" i="21"/>
  <c r="J41" i="21"/>
  <c r="K41" i="21"/>
  <c r="L41" i="21"/>
  <c r="M41" i="21"/>
  <c r="N41" i="21"/>
  <c r="O41" i="21"/>
  <c r="F42" i="21"/>
  <c r="G42" i="21"/>
  <c r="H42" i="21"/>
  <c r="I42" i="21"/>
  <c r="J42" i="21"/>
  <c r="K42" i="21"/>
  <c r="L42" i="21"/>
  <c r="M42" i="21"/>
  <c r="N42" i="21"/>
  <c r="O42" i="21"/>
  <c r="F43" i="21"/>
  <c r="G43" i="21"/>
  <c r="H43" i="21"/>
  <c r="I43" i="21"/>
  <c r="J43" i="21"/>
  <c r="K43" i="21"/>
  <c r="L43" i="21"/>
  <c r="M43" i="21"/>
  <c r="N43" i="21"/>
  <c r="O43" i="21"/>
  <c r="F46" i="21"/>
  <c r="G46" i="21"/>
  <c r="H46" i="21"/>
  <c r="I46" i="21"/>
  <c r="J46" i="21"/>
  <c r="K46" i="21"/>
  <c r="L46" i="21"/>
  <c r="M46" i="21"/>
  <c r="N46" i="21"/>
  <c r="O46" i="21"/>
  <c r="F47" i="21"/>
  <c r="G47" i="21"/>
  <c r="H47" i="21"/>
  <c r="I47" i="21"/>
  <c r="J47" i="21"/>
  <c r="K47" i="21"/>
  <c r="L47" i="21"/>
  <c r="M47" i="21"/>
  <c r="N47" i="21"/>
  <c r="O47" i="21"/>
  <c r="F48" i="21"/>
  <c r="G48" i="21"/>
  <c r="H48" i="21"/>
  <c r="I48" i="21"/>
  <c r="J48" i="21"/>
  <c r="K48" i="21"/>
  <c r="L48" i="21"/>
  <c r="M48" i="21"/>
  <c r="N48" i="21"/>
  <c r="O48" i="21"/>
  <c r="F49" i="21"/>
  <c r="G49" i="21"/>
  <c r="H49" i="21"/>
  <c r="I49" i="21"/>
  <c r="J49" i="21"/>
  <c r="K49" i="21"/>
  <c r="L49" i="21"/>
  <c r="M49" i="21"/>
  <c r="N49" i="21"/>
  <c r="O49" i="21"/>
  <c r="F50" i="21"/>
  <c r="G50" i="21"/>
  <c r="H50" i="21"/>
  <c r="I50" i="21"/>
  <c r="J50" i="21"/>
  <c r="K50" i="21"/>
  <c r="L50" i="21"/>
  <c r="M50" i="21"/>
  <c r="N50" i="21"/>
  <c r="O50" i="21"/>
  <c r="F56" i="21"/>
  <c r="G56" i="21"/>
  <c r="H56" i="21"/>
  <c r="I56" i="21"/>
  <c r="J56" i="21"/>
  <c r="K56" i="21"/>
  <c r="L56" i="21"/>
  <c r="M56" i="21"/>
  <c r="N56" i="21"/>
  <c r="O56" i="21"/>
  <c r="F59" i="21"/>
  <c r="G59" i="21"/>
  <c r="H59" i="21"/>
  <c r="I59" i="21"/>
  <c r="J59" i="21"/>
  <c r="K59" i="21"/>
  <c r="L59" i="21"/>
  <c r="M59" i="21"/>
  <c r="N59" i="21"/>
  <c r="O59" i="21"/>
  <c r="F60" i="21"/>
  <c r="G60" i="21"/>
  <c r="H60" i="21"/>
  <c r="I60" i="21"/>
  <c r="J60" i="21"/>
  <c r="K60" i="21"/>
  <c r="L60" i="21"/>
  <c r="M60" i="21"/>
  <c r="N60" i="21"/>
  <c r="O60" i="21"/>
  <c r="F63" i="21"/>
  <c r="G63" i="21"/>
  <c r="H63" i="21"/>
  <c r="I63" i="21"/>
  <c r="J63" i="21"/>
  <c r="K63" i="21"/>
  <c r="L63" i="21"/>
  <c r="M63" i="21"/>
  <c r="N63" i="21"/>
  <c r="O63" i="21"/>
  <c r="F64" i="21"/>
  <c r="G64" i="21"/>
  <c r="H64" i="21"/>
  <c r="I64" i="21"/>
  <c r="J64" i="21"/>
  <c r="K64" i="21"/>
  <c r="L64" i="21"/>
  <c r="M64" i="21"/>
  <c r="N64" i="21"/>
  <c r="O64" i="21"/>
  <c r="F65" i="21"/>
  <c r="G65" i="21"/>
  <c r="H65" i="21"/>
  <c r="I65" i="21"/>
  <c r="J65" i="21"/>
  <c r="K65" i="21"/>
  <c r="L65" i="21"/>
  <c r="M65" i="21"/>
  <c r="N65" i="21"/>
  <c r="O65" i="21"/>
  <c r="F66" i="21"/>
  <c r="G66" i="21"/>
  <c r="H66" i="21"/>
  <c r="I66" i="21"/>
  <c r="J66" i="21"/>
  <c r="K66" i="21"/>
  <c r="L66" i="21"/>
  <c r="M66" i="21"/>
  <c r="N66" i="21"/>
  <c r="O66" i="21"/>
  <c r="F67" i="21"/>
  <c r="G67" i="21"/>
  <c r="H67" i="21"/>
  <c r="I67" i="21"/>
  <c r="J67" i="21"/>
  <c r="K67" i="21"/>
  <c r="L67" i="21"/>
  <c r="M67" i="21"/>
  <c r="N67" i="21"/>
  <c r="O67" i="21"/>
</calcChain>
</file>

<file path=xl/comments1.xml><?xml version="1.0" encoding="utf-8"?>
<comments xmlns="http://schemas.openxmlformats.org/spreadsheetml/2006/main">
  <authors>
    <author>作者</author>
  </authors>
  <commentList>
    <comment ref="I24" authorId="0" shapeId="0">
      <text/>
    </comment>
  </commentList>
</comments>
</file>

<file path=xl/comments2.xml><?xml version="1.0" encoding="utf-8"?>
<comments xmlns="http://schemas.openxmlformats.org/spreadsheetml/2006/main">
  <authors>
    <author>作者</author>
    <author>Chainshine</author>
  </authors>
  <commentList>
    <comment ref="B19" authorId="0" shapeId="0">
      <text>
        <r>
          <rPr>
            <sz val="9"/>
            <color indexed="81"/>
            <rFont val="宋体"/>
            <charset val="134"/>
          </rPr>
          <t>截至2008年12月31日，三峡电站共有26台发电机组投入运营。本电力公司目前拥有三峡电站的8台（1#-8#）发电机组。
2009年5月16日，本电力公司发布重大资产重组预案，计划在本年度内一次性收购三峡电站剩余的18台（9#-26#）发电机组。
收购完成前按照已收购的机组数占三峡投产发电机组的比例分配收入。</t>
        </r>
      </text>
    </comment>
    <comment ref="B24" authorId="0" shapeId="0">
      <text>
        <r>
          <rPr>
            <sz val="9"/>
            <color indexed="81"/>
            <rFont val="宋体"/>
            <charset val="134"/>
          </rPr>
          <t>=平均总装机容量*年发电小时数</t>
        </r>
      </text>
    </comment>
    <comment ref="D24" authorId="1" shapeId="0">
      <text>
        <r>
          <rPr>
            <sz val="9"/>
            <color indexed="81"/>
            <rFont val="宋体"/>
            <charset val="134"/>
          </rPr>
          <t>电力公司分285.05亿度</t>
        </r>
      </text>
    </comment>
    <comment ref="E24" authorId="1" shapeId="0">
      <text>
        <r>
          <rPr>
            <sz val="9"/>
            <color indexed="81"/>
            <rFont val="宋体"/>
            <charset val="134"/>
          </rPr>
          <t>电力公司分272.30亿度</t>
        </r>
      </text>
    </comment>
    <comment ref="B28" authorId="0" shapeId="0">
      <text>
        <r>
          <rPr>
            <sz val="9"/>
            <color indexed="81"/>
            <rFont val="宋体"/>
            <charset val="134"/>
          </rPr>
          <t>=上网电量*平均上网电价</t>
        </r>
      </text>
    </comment>
    <comment ref="B30" authorId="0" shapeId="0">
      <text>
        <r>
          <rPr>
            <sz val="9"/>
            <color indexed="81"/>
            <rFont val="宋体"/>
            <charset val="134"/>
          </rPr>
          <t>=本年和上一年平均已收购机组数/本年和上一年平均三峡总投产机组数，表示当年三峡所有发电机组电费收入中属于电力公司的部分。</t>
        </r>
      </text>
    </comment>
    <comment ref="B37" authorId="0" shapeId="0">
      <text>
        <r>
          <rPr>
            <sz val="9"/>
            <color indexed="81"/>
            <rFont val="宋体"/>
            <charset val="134"/>
          </rPr>
          <t>=本年和上一年平均总装机容量*年发电小时数</t>
        </r>
      </text>
    </comment>
    <comment ref="B43" authorId="0" shapeId="0">
      <text>
        <r>
          <rPr>
            <sz val="9"/>
            <color indexed="81"/>
            <rFont val="宋体"/>
            <charset val="134"/>
          </rPr>
          <t>=三峡机组中电力公司电费收入+葛洲坝机组电费收入</t>
        </r>
      </text>
    </comment>
  </commentList>
</comments>
</file>

<file path=xl/comments3.xml><?xml version="1.0" encoding="utf-8"?>
<comments xmlns="http://schemas.openxmlformats.org/spreadsheetml/2006/main">
  <authors>
    <author>Chainshine</author>
  </authors>
  <commentList>
    <comment ref="B28" authorId="0" shapeId="0">
      <text>
        <r>
          <rPr>
            <b/>
            <sz val="9"/>
            <color indexed="81"/>
            <rFont val="宋体"/>
            <charset val="134"/>
          </rPr>
          <t>Chainshine:</t>
        </r>
        <r>
          <rPr>
            <sz val="9"/>
            <color indexed="81"/>
            <rFont val="宋体"/>
            <charset val="134"/>
          </rPr>
          <t xml:space="preserve">
不含折旧、摊销</t>
        </r>
      </text>
    </comment>
    <comment ref="B29" authorId="0" shapeId="0">
      <text>
        <r>
          <rPr>
            <b/>
            <sz val="9"/>
            <color indexed="81"/>
            <rFont val="宋体"/>
            <charset val="134"/>
          </rPr>
          <t>Chainshine:</t>
        </r>
        <r>
          <rPr>
            <sz val="9"/>
            <color indexed="81"/>
            <rFont val="宋体"/>
            <charset val="134"/>
          </rPr>
          <t xml:space="preserve">
不含折旧、摊销</t>
        </r>
      </text>
    </comment>
    <comment ref="B33" authorId="0" shapeId="0">
      <text>
        <r>
          <rPr>
            <b/>
            <sz val="9"/>
            <color indexed="81"/>
            <rFont val="宋体"/>
            <charset val="134"/>
          </rPr>
          <t>Chainshine:</t>
        </r>
        <r>
          <rPr>
            <sz val="9"/>
            <color indexed="81"/>
            <rFont val="宋体"/>
            <charset val="134"/>
          </rPr>
          <t xml:space="preserve">
不含折旧、摊销</t>
        </r>
      </text>
    </comment>
    <comment ref="B34" authorId="0" shapeId="0">
      <text>
        <r>
          <rPr>
            <b/>
            <sz val="9"/>
            <color indexed="81"/>
            <rFont val="宋体"/>
            <charset val="134"/>
          </rPr>
          <t>Chainshine:</t>
        </r>
        <r>
          <rPr>
            <sz val="9"/>
            <color indexed="81"/>
            <rFont val="宋体"/>
            <charset val="134"/>
          </rPr>
          <t xml:space="preserve">
不含折旧、摊销</t>
        </r>
      </text>
    </comment>
  </commentList>
</comments>
</file>

<file path=xl/comments4.xml><?xml version="1.0" encoding="utf-8"?>
<comments xmlns="http://schemas.openxmlformats.org/spreadsheetml/2006/main">
  <authors>
    <author>chainshine</author>
  </authors>
  <commentList>
    <comment ref="B16" authorId="0" shapeId="0">
      <text>
        <r>
          <rPr>
            <b/>
            <sz val="9"/>
            <color indexed="81"/>
            <rFont val="宋体"/>
            <charset val="134"/>
          </rPr>
          <t>chainshine:</t>
        </r>
        <r>
          <rPr>
            <sz val="9"/>
            <color indexed="81"/>
            <rFont val="宋体"/>
            <charset val="134"/>
          </rPr>
          <t xml:space="preserve">
包括交易性金融资产、可供出售金融资产和长期股权投资</t>
        </r>
      </text>
    </comment>
    <comment ref="E16" authorId="0" shapeId="0">
      <text>
        <r>
          <rPr>
            <b/>
            <sz val="9"/>
            <color indexed="81"/>
            <rFont val="宋体"/>
            <charset val="134"/>
          </rPr>
          <t>chainshine:</t>
        </r>
        <r>
          <rPr>
            <sz val="9"/>
            <color indexed="81"/>
            <rFont val="宋体"/>
            <charset val="134"/>
          </rPr>
          <t xml:space="preserve">
其中，可供出售金融资产为51.38亿元，长期股权投资为66.56亿元，无交易性金融资产</t>
        </r>
      </text>
    </comment>
  </commentList>
</comments>
</file>

<file path=xl/comments5.xml><?xml version="1.0" encoding="utf-8"?>
<comments xmlns="http://schemas.openxmlformats.org/spreadsheetml/2006/main">
  <authors>
    <author>chainshine</author>
    <author>作者</author>
  </authors>
  <commentList>
    <comment ref="I16" authorId="0" shapeId="0">
      <text>
        <r>
          <rPr>
            <sz val="9"/>
            <color indexed="81"/>
            <rFont val="Arial"/>
            <family val="2"/>
          </rPr>
          <t>2008</t>
        </r>
        <r>
          <rPr>
            <sz val="9"/>
            <color indexed="81"/>
            <rFont val="宋体"/>
            <charset val="134"/>
          </rPr>
          <t>年可比公司</t>
        </r>
        <r>
          <rPr>
            <sz val="9"/>
            <color indexed="81"/>
            <rFont val="Arial"/>
            <family val="2"/>
          </rPr>
          <t>P/E</t>
        </r>
        <r>
          <rPr>
            <sz val="9"/>
            <color indexed="81"/>
            <rFont val="宋体"/>
            <charset val="134"/>
          </rPr>
          <t>倍数异常，不适用</t>
        </r>
        <r>
          <rPr>
            <sz val="9"/>
            <color indexed="81"/>
            <rFont val="Arial"/>
            <family val="2"/>
          </rPr>
          <t>P/E</t>
        </r>
        <r>
          <rPr>
            <sz val="9"/>
            <color indexed="81"/>
            <rFont val="宋体"/>
            <charset val="134"/>
          </rPr>
          <t>倍数法对目标公司进行估值</t>
        </r>
      </text>
    </comment>
    <comment ref="J16" authorId="0" shapeId="0">
      <text>
        <r>
          <rPr>
            <sz val="9"/>
            <color indexed="81"/>
            <rFont val="宋体"/>
            <charset val="134"/>
          </rPr>
          <t>此处剔除了</t>
        </r>
        <r>
          <rPr>
            <sz val="9"/>
            <color indexed="81"/>
            <rFont val="Arial"/>
            <family val="2"/>
          </rPr>
          <t>P/E</t>
        </r>
        <r>
          <rPr>
            <sz val="9"/>
            <color indexed="81"/>
            <rFont val="宋体"/>
            <charset val="134"/>
          </rPr>
          <t>倍数为负值的可比公司</t>
        </r>
      </text>
    </comment>
    <comment ref="J17" authorId="0" shapeId="0">
      <text>
        <r>
          <rPr>
            <sz val="9"/>
            <color indexed="81"/>
            <rFont val="宋体"/>
            <charset val="134"/>
          </rPr>
          <t>此处剔除了</t>
        </r>
        <r>
          <rPr>
            <sz val="9"/>
            <color indexed="81"/>
            <rFont val="Arial"/>
            <family val="2"/>
          </rPr>
          <t>P/E</t>
        </r>
        <r>
          <rPr>
            <sz val="9"/>
            <color indexed="81"/>
            <rFont val="宋体"/>
            <charset val="134"/>
          </rPr>
          <t>倍数为负值的可比公司</t>
        </r>
      </text>
    </comment>
    <comment ref="B59" authorId="1" shapeId="0">
      <text>
        <r>
          <rPr>
            <sz val="9"/>
            <color indexed="81"/>
            <rFont val="宋体"/>
            <charset val="134"/>
          </rPr>
          <t>绝对估值法和相对估值法各占</t>
        </r>
        <r>
          <rPr>
            <sz val="9"/>
            <color indexed="81"/>
            <rFont val="Arial"/>
            <family val="2"/>
          </rPr>
          <t>50%</t>
        </r>
        <r>
          <rPr>
            <sz val="9"/>
            <color indexed="81"/>
            <rFont val="宋体"/>
            <charset val="134"/>
          </rPr>
          <t>权重，相对估值法中各方法等权重。</t>
        </r>
      </text>
    </comment>
  </commentList>
</comments>
</file>

<file path=xl/sharedStrings.xml><?xml version="1.0" encoding="utf-8"?>
<sst xmlns="http://schemas.openxmlformats.org/spreadsheetml/2006/main" count="517" uniqueCount="362">
  <si>
    <t>资产</t>
  </si>
  <si>
    <t>货币资金</t>
  </si>
  <si>
    <t>流动资产合计</t>
  </si>
  <si>
    <t>资产总计</t>
  </si>
  <si>
    <t>短期借款</t>
  </si>
  <si>
    <t>流动负债合计</t>
  </si>
  <si>
    <t>长期借款</t>
  </si>
  <si>
    <t>负债合计</t>
  </si>
  <si>
    <t>股东权益合计</t>
  </si>
  <si>
    <t>负债和股东权益总计</t>
  </si>
  <si>
    <t>=</t>
  </si>
  <si>
    <t>可比公司法</t>
  </si>
  <si>
    <t>PP&amp;E</t>
  </si>
  <si>
    <t>Financing</t>
  </si>
  <si>
    <t>BS</t>
  </si>
  <si>
    <t>IS</t>
  </si>
  <si>
    <t>CFS</t>
  </si>
  <si>
    <t>DCF</t>
  </si>
  <si>
    <t>Ratios</t>
  </si>
  <si>
    <t>Comps</t>
  </si>
  <si>
    <t>财务预测</t>
  </si>
  <si>
    <t>估值模型</t>
  </si>
  <si>
    <t>现金流量表</t>
  </si>
  <si>
    <t>资产负债表</t>
  </si>
  <si>
    <t>已发行普通股数</t>
  </si>
  <si>
    <t>P / E</t>
  </si>
  <si>
    <t>债务</t>
  </si>
  <si>
    <r>
      <t>市盈率（</t>
    </r>
    <r>
      <rPr>
        <b/>
        <sz val="10"/>
        <rFont val="Arial"/>
        <family val="2"/>
      </rPr>
      <t>P/E</t>
    </r>
    <r>
      <rPr>
        <b/>
        <sz val="10"/>
        <rFont val="宋体"/>
        <charset val="134"/>
      </rPr>
      <t>）</t>
    </r>
    <phoneticPr fontId="2" type="noConversion"/>
  </si>
  <si>
    <t>公司</t>
    <phoneticPr fontId="2" type="noConversion"/>
  </si>
  <si>
    <r>
      <t xml:space="preserve"> A</t>
    </r>
    <r>
      <rPr>
        <sz val="10"/>
        <rFont val="宋体"/>
        <charset val="134"/>
      </rPr>
      <t>股市价（元）</t>
    </r>
    <phoneticPr fontId="2" type="noConversion"/>
  </si>
  <si>
    <r>
      <t>每股收益（元</t>
    </r>
    <r>
      <rPr>
        <sz val="10"/>
        <rFont val="Arial"/>
        <family val="2"/>
      </rPr>
      <t>/</t>
    </r>
    <r>
      <rPr>
        <sz val="10"/>
        <rFont val="宋体"/>
        <charset val="134"/>
      </rPr>
      <t>股）</t>
    </r>
    <phoneticPr fontId="2" type="noConversion"/>
  </si>
  <si>
    <t>电力公司</t>
    <phoneticPr fontId="2" type="noConversion"/>
  </si>
  <si>
    <t>平均</t>
    <phoneticPr fontId="2" type="noConversion"/>
  </si>
  <si>
    <t>溢价水平</t>
    <phoneticPr fontId="2" type="noConversion"/>
  </si>
  <si>
    <t>~</t>
    <phoneticPr fontId="2" type="noConversion"/>
  </si>
  <si>
    <t>价格区间（元）</t>
    <phoneticPr fontId="2" type="noConversion"/>
  </si>
  <si>
    <r>
      <t>市净率（</t>
    </r>
    <r>
      <rPr>
        <b/>
        <sz val="10"/>
        <rFont val="Arial"/>
        <family val="2"/>
      </rPr>
      <t>P/B</t>
    </r>
    <r>
      <rPr>
        <b/>
        <sz val="10"/>
        <rFont val="宋体"/>
        <charset val="134"/>
      </rPr>
      <t>）</t>
    </r>
    <phoneticPr fontId="2" type="noConversion"/>
  </si>
  <si>
    <r>
      <t>每股净资产（元</t>
    </r>
    <r>
      <rPr>
        <sz val="10"/>
        <rFont val="Arial"/>
        <family val="2"/>
      </rPr>
      <t>/</t>
    </r>
    <r>
      <rPr>
        <sz val="10"/>
        <rFont val="宋体"/>
        <charset val="134"/>
      </rPr>
      <t>股）</t>
    </r>
    <phoneticPr fontId="2" type="noConversion"/>
  </si>
  <si>
    <t>P / B</t>
    <phoneticPr fontId="2" type="noConversion"/>
  </si>
  <si>
    <r>
      <t>A</t>
    </r>
    <r>
      <rPr>
        <sz val="10"/>
        <rFont val="宋体"/>
        <charset val="134"/>
      </rPr>
      <t>股市值</t>
    </r>
    <phoneticPr fontId="2" type="noConversion"/>
  </si>
  <si>
    <r>
      <t>H</t>
    </r>
    <r>
      <rPr>
        <sz val="10"/>
        <rFont val="宋体"/>
        <charset val="134"/>
      </rPr>
      <t>股市价（元）</t>
    </r>
    <phoneticPr fontId="2" type="noConversion"/>
  </si>
  <si>
    <r>
      <t>H</t>
    </r>
    <r>
      <rPr>
        <sz val="10"/>
        <rFont val="宋体"/>
        <charset val="134"/>
      </rPr>
      <t>股普通股数</t>
    </r>
    <phoneticPr fontId="2" type="noConversion"/>
  </si>
  <si>
    <r>
      <t>H</t>
    </r>
    <r>
      <rPr>
        <sz val="10"/>
        <rFont val="宋体"/>
        <charset val="134"/>
      </rPr>
      <t>股市值</t>
    </r>
    <phoneticPr fontId="2" type="noConversion"/>
  </si>
  <si>
    <t>债务</t>
    <phoneticPr fontId="2" type="noConversion"/>
  </si>
  <si>
    <t>现金及非核心资产</t>
    <phoneticPr fontId="2" type="noConversion"/>
  </si>
  <si>
    <t>EV</t>
    <phoneticPr fontId="2" type="noConversion"/>
  </si>
  <si>
    <t>少数股东权益</t>
    <phoneticPr fontId="2" type="noConversion"/>
  </si>
  <si>
    <t>其他</t>
    <phoneticPr fontId="2" type="noConversion"/>
  </si>
  <si>
    <t>现金</t>
    <phoneticPr fontId="2" type="noConversion"/>
  </si>
  <si>
    <t>非核心资产</t>
    <phoneticPr fontId="2" type="noConversion"/>
  </si>
  <si>
    <t>股价区间</t>
    <phoneticPr fontId="2" type="noConversion"/>
  </si>
  <si>
    <r>
      <t xml:space="preserve">* DCF </t>
    </r>
    <r>
      <rPr>
        <sz val="10"/>
        <rFont val="宋体"/>
        <charset val="134"/>
      </rPr>
      <t>估值方法股票价格区间为</t>
    </r>
    <phoneticPr fontId="2" type="noConversion"/>
  </si>
  <si>
    <t>EV/EBITDA</t>
    <phoneticPr fontId="2" type="noConversion"/>
  </si>
  <si>
    <r>
      <t xml:space="preserve">* P/E </t>
    </r>
    <r>
      <rPr>
        <sz val="10"/>
        <rFont val="宋体"/>
        <charset val="134"/>
      </rPr>
      <t>倍数方法股票价格区间为</t>
    </r>
    <phoneticPr fontId="2" type="noConversion"/>
  </si>
  <si>
    <r>
      <t xml:space="preserve">* P/B </t>
    </r>
    <r>
      <rPr>
        <sz val="10"/>
        <rFont val="宋体"/>
        <charset val="134"/>
      </rPr>
      <t>倍数方法股票价格区间为</t>
    </r>
    <phoneticPr fontId="2" type="noConversion"/>
  </si>
  <si>
    <t xml:space="preserve">P/E </t>
    <phoneticPr fontId="2" type="noConversion"/>
  </si>
  <si>
    <r>
      <t xml:space="preserve">* EV/EBITDA </t>
    </r>
    <r>
      <rPr>
        <sz val="10"/>
        <rFont val="宋体"/>
        <charset val="134"/>
      </rPr>
      <t>方法股票价格区间为</t>
    </r>
    <phoneticPr fontId="2" type="noConversion"/>
  </si>
  <si>
    <t>DCF</t>
    <phoneticPr fontId="2" type="noConversion"/>
  </si>
  <si>
    <t>综合</t>
    <phoneticPr fontId="2" type="noConversion"/>
  </si>
  <si>
    <r>
      <t xml:space="preserve">* </t>
    </r>
    <r>
      <rPr>
        <sz val="10"/>
        <rFont val="宋体"/>
        <charset val="134"/>
      </rPr>
      <t>综合上述方法，股票价格区间为</t>
    </r>
    <phoneticPr fontId="2" type="noConversion"/>
  </si>
  <si>
    <t>2008A</t>
  </si>
  <si>
    <t>2009E</t>
  </si>
  <si>
    <t>2010E</t>
  </si>
  <si>
    <r>
      <t>桂冠电力（</t>
    </r>
    <r>
      <rPr>
        <sz val="10"/>
        <rFont val="Arial"/>
        <family val="2"/>
      </rPr>
      <t>600236.SH)</t>
    </r>
    <phoneticPr fontId="2" type="noConversion"/>
  </si>
  <si>
    <r>
      <t>国电电力（</t>
    </r>
    <r>
      <rPr>
        <sz val="10"/>
        <rFont val="Arial"/>
        <family val="2"/>
      </rPr>
      <t>600795.SH</t>
    </r>
    <r>
      <rPr>
        <sz val="10"/>
        <rFont val="宋体"/>
        <charset val="134"/>
      </rPr>
      <t>）</t>
    </r>
    <phoneticPr fontId="2" type="noConversion"/>
  </si>
  <si>
    <r>
      <t>华能国际（</t>
    </r>
    <r>
      <rPr>
        <sz val="10"/>
        <rFont val="Arial"/>
        <family val="2"/>
      </rPr>
      <t>600011.SH</t>
    </r>
    <r>
      <rPr>
        <sz val="10"/>
        <rFont val="宋体"/>
        <charset val="134"/>
      </rPr>
      <t>）</t>
    </r>
    <phoneticPr fontId="2" type="noConversion"/>
  </si>
  <si>
    <r>
      <t>华电国际（</t>
    </r>
    <r>
      <rPr>
        <sz val="10"/>
        <rFont val="Arial"/>
        <family val="2"/>
      </rPr>
      <t>600027.SH</t>
    </r>
    <r>
      <rPr>
        <sz val="10"/>
        <rFont val="宋体"/>
        <charset val="134"/>
      </rPr>
      <t>）</t>
    </r>
    <phoneticPr fontId="2" type="noConversion"/>
  </si>
  <si>
    <r>
      <t>国投电力（</t>
    </r>
    <r>
      <rPr>
        <sz val="10"/>
        <rFont val="Arial"/>
        <family val="2"/>
      </rPr>
      <t>600886.SH</t>
    </r>
    <r>
      <rPr>
        <sz val="10"/>
        <rFont val="宋体"/>
        <charset val="134"/>
      </rPr>
      <t>）</t>
    </r>
    <phoneticPr fontId="2" type="noConversion"/>
  </si>
  <si>
    <t>中位数</t>
    <phoneticPr fontId="2" type="noConversion"/>
  </si>
  <si>
    <r>
      <t>A</t>
    </r>
    <r>
      <rPr>
        <sz val="10"/>
        <rFont val="宋体"/>
        <charset val="134"/>
      </rPr>
      <t>股普通股数
（百万）</t>
    </r>
    <phoneticPr fontId="2" type="noConversion"/>
  </si>
  <si>
    <t>EBITDA</t>
    <phoneticPr fontId="2" type="noConversion"/>
  </si>
  <si>
    <t>固定资产购建</t>
  </si>
  <si>
    <t>无形资产购建</t>
  </si>
  <si>
    <r>
      <t>目录</t>
    </r>
    <r>
      <rPr>
        <b/>
        <sz val="12"/>
        <color indexed="9"/>
        <rFont val="Arial"/>
        <family val="2"/>
      </rPr>
      <t xml:space="preserve"> Contents</t>
    </r>
    <phoneticPr fontId="2" type="noConversion"/>
  </si>
  <si>
    <r>
      <t>中间计算表</t>
    </r>
    <r>
      <rPr>
        <b/>
        <sz val="12"/>
        <color indexed="9"/>
        <rFont val="Arial"/>
        <family val="2"/>
      </rPr>
      <t xml:space="preserve"> Calculations</t>
    </r>
    <phoneticPr fontId="6" type="noConversion"/>
  </si>
  <si>
    <t>预测</t>
    <phoneticPr fontId="15" type="noConversion"/>
  </si>
  <si>
    <t>单位：百万元人民币（特殊说明除外）</t>
    <phoneticPr fontId="6" type="noConversion"/>
  </si>
  <si>
    <r>
      <t>电力公司</t>
    </r>
    <r>
      <rPr>
        <b/>
        <sz val="16"/>
        <color indexed="9"/>
        <rFont val="Arial"/>
        <family val="2"/>
      </rPr>
      <t xml:space="preserve"> Power Company</t>
    </r>
    <phoneticPr fontId="6" type="noConversion"/>
  </si>
  <si>
    <r>
      <t>融资计划表</t>
    </r>
    <r>
      <rPr>
        <b/>
        <sz val="12"/>
        <color indexed="9"/>
        <rFont val="Arial"/>
        <family val="2"/>
      </rPr>
      <t xml:space="preserve"> Financing</t>
    </r>
    <phoneticPr fontId="6" type="noConversion"/>
  </si>
  <si>
    <r>
      <t>利润表</t>
    </r>
    <r>
      <rPr>
        <b/>
        <sz val="12"/>
        <color indexed="9"/>
        <rFont val="Arial"/>
        <family val="2"/>
      </rPr>
      <t xml:space="preserve"> Income Statement</t>
    </r>
    <phoneticPr fontId="6" type="noConversion"/>
  </si>
  <si>
    <r>
      <t>资产负债表</t>
    </r>
    <r>
      <rPr>
        <b/>
        <sz val="12"/>
        <color indexed="9"/>
        <rFont val="Arial"/>
        <family val="2"/>
      </rPr>
      <t xml:space="preserve"> Balance Sheet</t>
    </r>
    <phoneticPr fontId="6" type="noConversion"/>
  </si>
  <si>
    <r>
      <t>现金流量表</t>
    </r>
    <r>
      <rPr>
        <b/>
        <sz val="12"/>
        <color indexed="9"/>
        <rFont val="Arial"/>
        <family val="2"/>
      </rPr>
      <t xml:space="preserve"> Cash Flow Statement</t>
    </r>
    <phoneticPr fontId="6" type="noConversion"/>
  </si>
  <si>
    <r>
      <t>折现现金流模型</t>
    </r>
    <r>
      <rPr>
        <b/>
        <sz val="12"/>
        <color indexed="9"/>
        <rFont val="Arial"/>
        <family val="2"/>
      </rPr>
      <t xml:space="preserve"> Discounted Cash Flow</t>
    </r>
    <phoneticPr fontId="6" type="noConversion"/>
  </si>
  <si>
    <r>
      <t>电力公司</t>
    </r>
    <r>
      <rPr>
        <b/>
        <sz val="16"/>
        <color indexed="9"/>
        <rFont val="Arial"/>
        <family val="2"/>
      </rPr>
      <t xml:space="preserve"> Power Company</t>
    </r>
    <phoneticPr fontId="15" type="noConversion"/>
  </si>
  <si>
    <t>2008.4-2009.3</t>
    <phoneticPr fontId="2" type="noConversion"/>
  </si>
  <si>
    <t>预测</t>
    <phoneticPr fontId="15" type="noConversion"/>
  </si>
  <si>
    <t>单位：百万元人民币（特殊说明除外）</t>
    <phoneticPr fontId="6" type="noConversion"/>
  </si>
  <si>
    <t>估值时点</t>
    <phoneticPr fontId="2" type="noConversion"/>
  </si>
  <si>
    <r>
      <t>加权平均资本成本（</t>
    </r>
    <r>
      <rPr>
        <b/>
        <sz val="10"/>
        <rFont val="Arial"/>
        <family val="2"/>
      </rPr>
      <t>WACC</t>
    </r>
    <r>
      <rPr>
        <b/>
        <sz val="10"/>
        <rFont val="宋体"/>
        <charset val="134"/>
      </rPr>
      <t>）</t>
    </r>
    <phoneticPr fontId="2" type="noConversion"/>
  </si>
  <si>
    <t>WACC</t>
    <phoneticPr fontId="2" type="noConversion"/>
  </si>
  <si>
    <t>EBIAT</t>
    <phoneticPr fontId="2" type="noConversion"/>
  </si>
  <si>
    <t>折现现金流模型</t>
    <phoneticPr fontId="5" type="noConversion"/>
  </si>
  <si>
    <t>敏感性分析</t>
    <phoneticPr fontId="2" type="noConversion"/>
  </si>
  <si>
    <t>预测</t>
    <phoneticPr fontId="15" type="noConversion"/>
  </si>
  <si>
    <t>单位：百万元人民币（特殊说明除外）</t>
    <phoneticPr fontId="6" type="noConversion"/>
  </si>
  <si>
    <t>关键数字</t>
    <phoneticPr fontId="2" type="noConversion"/>
  </si>
  <si>
    <t>EBIAT</t>
    <phoneticPr fontId="2" type="noConversion"/>
  </si>
  <si>
    <t>净利润</t>
    <phoneticPr fontId="2" type="noConversion"/>
  </si>
  <si>
    <t>债务合计</t>
    <phoneticPr fontId="2" type="noConversion"/>
  </si>
  <si>
    <t>成长性指标</t>
    <phoneticPr fontId="2" type="noConversion"/>
  </si>
  <si>
    <t>盈利性指标</t>
    <phoneticPr fontId="2" type="noConversion"/>
  </si>
  <si>
    <t>偿债能力指标</t>
    <phoneticPr fontId="2" type="noConversion"/>
  </si>
  <si>
    <t>运营能力指标</t>
    <phoneticPr fontId="2" type="noConversion"/>
  </si>
  <si>
    <t>杠杆比率</t>
    <phoneticPr fontId="2" type="noConversion"/>
  </si>
  <si>
    <t>资产负债率</t>
    <phoneticPr fontId="2" type="noConversion"/>
  </si>
  <si>
    <t>杜邦分析</t>
    <phoneticPr fontId="2" type="noConversion"/>
  </si>
  <si>
    <t>本表假设</t>
    <phoneticPr fontId="2" type="noConversion"/>
  </si>
  <si>
    <t>经营活动现金流</t>
    <phoneticPr fontId="5" type="noConversion"/>
  </si>
  <si>
    <t>折旧</t>
    <phoneticPr fontId="2" type="noConversion"/>
  </si>
  <si>
    <t>摊销</t>
    <phoneticPr fontId="2" type="noConversion"/>
  </si>
  <si>
    <t>财务费用</t>
    <phoneticPr fontId="2" type="noConversion"/>
  </si>
  <si>
    <t>（公允价值变动收益）</t>
    <phoneticPr fontId="2" type="noConversion"/>
  </si>
  <si>
    <t>（投资收益）</t>
    <phoneticPr fontId="2" type="noConversion"/>
  </si>
  <si>
    <t>经营活动现金流合计</t>
    <phoneticPr fontId="5" type="noConversion"/>
  </si>
  <si>
    <t>投资活动现金流</t>
    <phoneticPr fontId="5" type="noConversion"/>
  </si>
  <si>
    <t>公允价值变动收益</t>
    <phoneticPr fontId="2" type="noConversion"/>
  </si>
  <si>
    <t>投资收益</t>
    <phoneticPr fontId="2" type="noConversion"/>
  </si>
  <si>
    <t>（固定资产购建）</t>
    <phoneticPr fontId="2" type="noConversion"/>
  </si>
  <si>
    <t>（无形资产购建）</t>
    <phoneticPr fontId="2" type="noConversion"/>
  </si>
  <si>
    <t>投资活动现金流合计</t>
    <phoneticPr fontId="5" type="noConversion"/>
  </si>
  <si>
    <t>融资活动现金流</t>
    <phoneticPr fontId="5" type="noConversion"/>
  </si>
  <si>
    <t>（偿还上期融资缺口）</t>
    <phoneticPr fontId="2" type="noConversion"/>
  </si>
  <si>
    <t>（财务费用）</t>
    <phoneticPr fontId="2" type="noConversion"/>
  </si>
  <si>
    <t>短期借款增加（减少）</t>
    <phoneticPr fontId="2" type="noConversion"/>
  </si>
  <si>
    <t>长期借款增加（减少）</t>
    <phoneticPr fontId="2" type="noConversion"/>
  </si>
  <si>
    <t>应付债券增加（减少）</t>
    <phoneticPr fontId="2" type="noConversion"/>
  </si>
  <si>
    <t>股本及资本公积增加（减少）</t>
    <phoneticPr fontId="2" type="noConversion"/>
  </si>
  <si>
    <t>（红利）</t>
    <phoneticPr fontId="2" type="noConversion"/>
  </si>
  <si>
    <t>融资活动现金流合计</t>
    <phoneticPr fontId="5" type="noConversion"/>
  </si>
  <si>
    <t>净现金流</t>
    <phoneticPr fontId="2" type="noConversion"/>
  </si>
  <si>
    <t>期初现金额</t>
    <phoneticPr fontId="2" type="noConversion"/>
  </si>
  <si>
    <t>融资缺口前的期末现金额</t>
    <phoneticPr fontId="2" type="noConversion"/>
  </si>
  <si>
    <t>现金分配</t>
    <phoneticPr fontId="5" type="noConversion"/>
  </si>
  <si>
    <t>所需现金</t>
    <phoneticPr fontId="5" type="noConversion"/>
  </si>
  <si>
    <t>多余现金</t>
    <phoneticPr fontId="5" type="noConversion"/>
  </si>
  <si>
    <t>融资缺口</t>
    <phoneticPr fontId="5" type="noConversion"/>
  </si>
  <si>
    <t>年底现金</t>
    <phoneticPr fontId="5" type="noConversion"/>
  </si>
  <si>
    <t>应收款项</t>
    <phoneticPr fontId="2" type="noConversion"/>
  </si>
  <si>
    <t>其他流动资产</t>
    <phoneticPr fontId="2" type="noConversion"/>
  </si>
  <si>
    <t>固定资产净值</t>
    <phoneticPr fontId="2" type="noConversion"/>
  </si>
  <si>
    <t>无形资产净值</t>
    <phoneticPr fontId="2" type="noConversion"/>
  </si>
  <si>
    <t>负债和股东权益</t>
    <phoneticPr fontId="2" type="noConversion"/>
  </si>
  <si>
    <t>融资缺口</t>
    <phoneticPr fontId="2" type="noConversion"/>
  </si>
  <si>
    <t>应付债券</t>
    <phoneticPr fontId="2" type="noConversion"/>
  </si>
  <si>
    <t>股本及资本公积</t>
    <phoneticPr fontId="2" type="noConversion"/>
  </si>
  <si>
    <t>留存收益</t>
    <phoneticPr fontId="2" type="noConversion"/>
  </si>
  <si>
    <t>平衡吗？</t>
    <phoneticPr fontId="5" type="noConversion"/>
  </si>
  <si>
    <r>
      <t>其他业务收入</t>
    </r>
    <r>
      <rPr>
        <sz val="10"/>
        <rFont val="Arial"/>
        <family val="2"/>
      </rPr>
      <t>/</t>
    </r>
    <r>
      <rPr>
        <sz val="10"/>
        <rFont val="宋体"/>
        <charset val="134"/>
      </rPr>
      <t>三峡总公司电费收入</t>
    </r>
    <phoneticPr fontId="2" type="noConversion"/>
  </si>
  <si>
    <r>
      <t>补贴收入</t>
    </r>
    <r>
      <rPr>
        <sz val="10"/>
        <rFont val="Arial"/>
        <family val="2"/>
      </rPr>
      <t>/</t>
    </r>
    <r>
      <rPr>
        <sz val="10"/>
        <rFont val="宋体"/>
        <charset val="134"/>
      </rPr>
      <t>主营业务收入</t>
    </r>
    <phoneticPr fontId="2" type="noConversion"/>
  </si>
  <si>
    <r>
      <t>主营业务成本</t>
    </r>
    <r>
      <rPr>
        <sz val="10"/>
        <rFont val="Arial"/>
        <family val="2"/>
      </rPr>
      <t>/</t>
    </r>
    <r>
      <rPr>
        <sz val="10"/>
        <rFont val="宋体"/>
        <charset val="134"/>
      </rPr>
      <t>主营业务收入</t>
    </r>
    <phoneticPr fontId="2" type="noConversion"/>
  </si>
  <si>
    <r>
      <t>其他业务成本</t>
    </r>
    <r>
      <rPr>
        <sz val="10"/>
        <rFont val="Arial"/>
        <family val="2"/>
      </rPr>
      <t>/</t>
    </r>
    <r>
      <rPr>
        <sz val="10"/>
        <rFont val="宋体"/>
        <charset val="134"/>
      </rPr>
      <t>其他业务收入</t>
    </r>
    <phoneticPr fontId="2" type="noConversion"/>
  </si>
  <si>
    <r>
      <t>营业税金及附加</t>
    </r>
    <r>
      <rPr>
        <sz val="10"/>
        <rFont val="Arial"/>
        <family val="2"/>
      </rPr>
      <t>/</t>
    </r>
    <r>
      <rPr>
        <sz val="10"/>
        <rFont val="宋体"/>
        <charset val="134"/>
      </rPr>
      <t>主营业务收入</t>
    </r>
    <phoneticPr fontId="2" type="noConversion"/>
  </si>
  <si>
    <t>销售费用</t>
    <phoneticPr fontId="2" type="noConversion"/>
  </si>
  <si>
    <t>管理费用增长率</t>
    <phoneticPr fontId="2" type="noConversion"/>
  </si>
  <si>
    <t>资产减值损失</t>
    <phoneticPr fontId="2" type="noConversion"/>
  </si>
  <si>
    <t>营业外净收入</t>
    <phoneticPr fontId="2" type="noConversion"/>
  </si>
  <si>
    <t>收入</t>
    <phoneticPr fontId="2" type="noConversion"/>
  </si>
  <si>
    <t>主营业务收入</t>
    <phoneticPr fontId="2" type="noConversion"/>
  </si>
  <si>
    <t>其他业务收入</t>
    <phoneticPr fontId="2" type="noConversion"/>
  </si>
  <si>
    <t>补贴收入</t>
    <phoneticPr fontId="2" type="noConversion"/>
  </si>
  <si>
    <t>营业收入</t>
    <phoneticPr fontId="2" type="noConversion"/>
  </si>
  <si>
    <t>主营业务成本</t>
    <phoneticPr fontId="2" type="noConversion"/>
  </si>
  <si>
    <t>其他业务成本</t>
    <phoneticPr fontId="2" type="noConversion"/>
  </si>
  <si>
    <t>营业成本</t>
    <phoneticPr fontId="2" type="noConversion"/>
  </si>
  <si>
    <t>营业税金及附加</t>
    <phoneticPr fontId="2" type="noConversion"/>
  </si>
  <si>
    <t>管理费用</t>
    <phoneticPr fontId="2" type="noConversion"/>
  </si>
  <si>
    <t xml:space="preserve">EBITDA </t>
    <phoneticPr fontId="2" type="noConversion"/>
  </si>
  <si>
    <t>EBIT</t>
    <phoneticPr fontId="2" type="noConversion"/>
  </si>
  <si>
    <t>利润总额</t>
    <phoneticPr fontId="2" type="noConversion"/>
  </si>
  <si>
    <t>所得税费用</t>
    <phoneticPr fontId="2" type="noConversion"/>
  </si>
  <si>
    <r>
      <t>每股盈利（元</t>
    </r>
    <r>
      <rPr>
        <b/>
        <sz val="10"/>
        <rFont val="Arial"/>
        <family val="2"/>
      </rPr>
      <t>/</t>
    </r>
    <r>
      <rPr>
        <b/>
        <sz val="10"/>
        <rFont val="宋体"/>
        <charset val="134"/>
      </rPr>
      <t>股）</t>
    </r>
  </si>
  <si>
    <r>
      <t>红利</t>
    </r>
    <r>
      <rPr>
        <sz val="10"/>
        <rFont val="Arial"/>
        <family val="2"/>
      </rPr>
      <t>/</t>
    </r>
    <r>
      <rPr>
        <sz val="10"/>
        <rFont val="宋体"/>
        <charset val="134"/>
      </rPr>
      <t>上年净利润</t>
    </r>
    <phoneticPr fontId="2" type="noConversion"/>
  </si>
  <si>
    <t>期初值</t>
    <phoneticPr fontId="2" type="noConversion"/>
  </si>
  <si>
    <t>期末值</t>
    <phoneticPr fontId="2" type="noConversion"/>
  </si>
  <si>
    <t>红利</t>
    <phoneticPr fontId="2" type="noConversion"/>
  </si>
  <si>
    <t>短期借款发行（偿还）</t>
    <phoneticPr fontId="2" type="noConversion"/>
  </si>
  <si>
    <t>循环贷款及短期借款利率</t>
    <phoneticPr fontId="2" type="noConversion"/>
  </si>
  <si>
    <t>长期借款发行（偿还）</t>
    <phoneticPr fontId="2" type="noConversion"/>
  </si>
  <si>
    <t>长期借款利率</t>
    <phoneticPr fontId="2" type="noConversion"/>
  </si>
  <si>
    <t>应付债券发行（减少）</t>
    <phoneticPr fontId="2" type="noConversion"/>
  </si>
  <si>
    <t>应付债券利率</t>
    <phoneticPr fontId="2" type="noConversion"/>
  </si>
  <si>
    <t>货币资金利率</t>
    <phoneticPr fontId="2" type="noConversion"/>
  </si>
  <si>
    <t>新股发行数量（百万股）</t>
    <phoneticPr fontId="2" type="noConversion"/>
  </si>
  <si>
    <t>新股发行价格（元）</t>
    <phoneticPr fontId="2" type="noConversion"/>
  </si>
  <si>
    <t>债务融资</t>
    <phoneticPr fontId="2" type="noConversion"/>
  </si>
  <si>
    <t>循环贷款利率</t>
    <phoneticPr fontId="2" type="noConversion"/>
  </si>
  <si>
    <t>循环贷款利息费用</t>
    <phoneticPr fontId="2" type="noConversion"/>
  </si>
  <si>
    <t>短期借款</t>
    <phoneticPr fontId="2" type="noConversion"/>
  </si>
  <si>
    <t>短期借款利率</t>
    <phoneticPr fontId="2" type="noConversion"/>
  </si>
  <si>
    <t>短期借款利息费用</t>
    <phoneticPr fontId="2" type="noConversion"/>
  </si>
  <si>
    <t>长期借款</t>
    <phoneticPr fontId="2" type="noConversion"/>
  </si>
  <si>
    <t>长期借款利息费用</t>
    <phoneticPr fontId="2" type="noConversion"/>
  </si>
  <si>
    <t>应付债券利息费用</t>
    <phoneticPr fontId="2" type="noConversion"/>
  </si>
  <si>
    <t>利息费用合计</t>
    <phoneticPr fontId="2" type="noConversion"/>
  </si>
  <si>
    <t>货币资金</t>
    <phoneticPr fontId="2" type="noConversion"/>
  </si>
  <si>
    <t>货币资金利息收入</t>
    <phoneticPr fontId="2" type="noConversion"/>
  </si>
  <si>
    <t>股权融资</t>
    <phoneticPr fontId="2" type="noConversion"/>
  </si>
  <si>
    <t>已发行普通股数（百万股）</t>
    <phoneticPr fontId="2" type="noConversion"/>
  </si>
  <si>
    <t>新股价格（元）</t>
    <phoneticPr fontId="2" type="noConversion"/>
  </si>
  <si>
    <t>股本及资本公积合计</t>
    <phoneticPr fontId="2" type="noConversion"/>
  </si>
  <si>
    <t>重要指标</t>
    <phoneticPr fontId="2" type="noConversion"/>
  </si>
  <si>
    <r>
      <t>每股盈利（元</t>
    </r>
    <r>
      <rPr>
        <sz val="10"/>
        <rFont val="Arial"/>
        <family val="2"/>
      </rPr>
      <t>/</t>
    </r>
    <r>
      <rPr>
        <sz val="10"/>
        <rFont val="宋体"/>
        <charset val="134"/>
      </rPr>
      <t>股）</t>
    </r>
    <phoneticPr fontId="2" type="noConversion"/>
  </si>
  <si>
    <r>
      <t>固定资产购建</t>
    </r>
    <r>
      <rPr>
        <sz val="10"/>
        <rFont val="Arial"/>
        <family val="2"/>
      </rPr>
      <t>——</t>
    </r>
    <r>
      <rPr>
        <sz val="10"/>
        <rFont val="宋体"/>
        <charset val="134"/>
      </rPr>
      <t>收购三峡机组</t>
    </r>
    <phoneticPr fontId="2" type="noConversion"/>
  </si>
  <si>
    <r>
      <t>固定资产购建</t>
    </r>
    <r>
      <rPr>
        <sz val="10"/>
        <rFont val="Arial"/>
        <family val="2"/>
      </rPr>
      <t>——</t>
    </r>
    <r>
      <rPr>
        <sz val="10"/>
        <rFont val="宋体"/>
        <charset val="134"/>
      </rPr>
      <t>维护性支出</t>
    </r>
    <r>
      <rPr>
        <sz val="10"/>
        <rFont val="Arial"/>
        <family val="2"/>
      </rPr>
      <t>/</t>
    </r>
    <r>
      <rPr>
        <sz val="10"/>
        <rFont val="宋体"/>
        <charset val="134"/>
      </rPr>
      <t>上一年固定资产净值</t>
    </r>
  </si>
  <si>
    <t>已存固定资产折旧</t>
    <phoneticPr fontId="2" type="noConversion"/>
  </si>
  <si>
    <r>
      <t>固定资产购建</t>
    </r>
    <r>
      <rPr>
        <sz val="10"/>
        <rFont val="Arial"/>
        <family val="2"/>
      </rPr>
      <t>——</t>
    </r>
    <r>
      <rPr>
        <sz val="10"/>
        <rFont val="宋体"/>
        <charset val="134"/>
      </rPr>
      <t>维护性支出</t>
    </r>
  </si>
  <si>
    <t>折旧年限（年）</t>
    <phoneticPr fontId="2" type="noConversion"/>
  </si>
  <si>
    <t>残值率</t>
    <phoneticPr fontId="2" type="noConversion"/>
  </si>
  <si>
    <t>折旧率</t>
    <phoneticPr fontId="2" type="noConversion"/>
  </si>
  <si>
    <t>新增固定资产折旧</t>
    <phoneticPr fontId="2" type="noConversion"/>
  </si>
  <si>
    <t>三峡总投产机组数（台）</t>
    <phoneticPr fontId="2" type="noConversion"/>
  </si>
  <si>
    <t>三峡单机组装机容量（百万千瓦）</t>
    <phoneticPr fontId="2" type="noConversion"/>
  </si>
  <si>
    <t>三峡机组年发电小时数（小时）</t>
    <phoneticPr fontId="2" type="noConversion"/>
  </si>
  <si>
    <t>三峡机组上网率</t>
    <phoneticPr fontId="2" type="noConversion"/>
  </si>
  <si>
    <r>
      <t>三峡机组平均上网电价（不含税，元</t>
    </r>
    <r>
      <rPr>
        <sz val="10"/>
        <rFont val="Arial"/>
        <family val="2"/>
      </rPr>
      <t>/</t>
    </r>
    <r>
      <rPr>
        <sz val="10"/>
        <rFont val="宋体"/>
        <charset val="134"/>
      </rPr>
      <t>度）</t>
    </r>
    <phoneticPr fontId="2" type="noConversion"/>
  </si>
  <si>
    <t>新收购三峡机组数（台）</t>
    <phoneticPr fontId="2" type="noConversion"/>
  </si>
  <si>
    <t>葛洲坝机组总装机容量（百万千瓦）</t>
    <phoneticPr fontId="2" type="noConversion"/>
  </si>
  <si>
    <t>葛洲坝机组年发电小时数（小时）</t>
    <phoneticPr fontId="2" type="noConversion"/>
  </si>
  <si>
    <t>葛洲坝平均上网率</t>
    <phoneticPr fontId="2" type="noConversion"/>
  </si>
  <si>
    <r>
      <t>葛洲坝机组平均上网电价（不含税，元</t>
    </r>
    <r>
      <rPr>
        <sz val="10"/>
        <rFont val="Arial"/>
        <family val="2"/>
      </rPr>
      <t>/</t>
    </r>
    <r>
      <rPr>
        <sz val="10"/>
        <rFont val="宋体"/>
        <charset val="134"/>
      </rPr>
      <t>度）</t>
    </r>
    <phoneticPr fontId="2" type="noConversion"/>
  </si>
  <si>
    <t>三峡机组电费收入</t>
    <phoneticPr fontId="2" type="noConversion"/>
  </si>
  <si>
    <t>单机组装机容量（百万千瓦）</t>
    <phoneticPr fontId="2" type="noConversion"/>
  </si>
  <si>
    <t>年发电小时数（小时）</t>
    <phoneticPr fontId="2" type="noConversion"/>
  </si>
  <si>
    <t>发电量（百万度）</t>
    <phoneticPr fontId="2" type="noConversion"/>
  </si>
  <si>
    <t>上网率</t>
    <phoneticPr fontId="2" type="noConversion"/>
  </si>
  <si>
    <t>上网电量（百万度）</t>
    <phoneticPr fontId="2" type="noConversion"/>
  </si>
  <si>
    <r>
      <t>平均上网电价（不含税，元</t>
    </r>
    <r>
      <rPr>
        <sz val="10"/>
        <rFont val="Arial"/>
        <family val="2"/>
      </rPr>
      <t>/</t>
    </r>
    <r>
      <rPr>
        <sz val="10"/>
        <rFont val="宋体"/>
        <charset val="134"/>
      </rPr>
      <t>度）</t>
    </r>
    <phoneticPr fontId="2" type="noConversion"/>
  </si>
  <si>
    <t>电费收入</t>
    <phoneticPr fontId="2" type="noConversion"/>
  </si>
  <si>
    <t>已收购机组数（台）</t>
    <phoneticPr fontId="2" type="noConversion"/>
  </si>
  <si>
    <t>电力公司电费收入</t>
    <phoneticPr fontId="2" type="noConversion"/>
  </si>
  <si>
    <t>三峡总公司电费收入</t>
    <phoneticPr fontId="2" type="noConversion"/>
  </si>
  <si>
    <t>葛洲坝机组电费收入</t>
    <phoneticPr fontId="2" type="noConversion"/>
  </si>
  <si>
    <t>总装机容量（百万千瓦）</t>
    <phoneticPr fontId="2" type="noConversion"/>
  </si>
  <si>
    <t>平均上网率</t>
    <phoneticPr fontId="2" type="noConversion"/>
  </si>
  <si>
    <t>工作表名称</t>
    <phoneticPr fontId="2" type="noConversion"/>
  </si>
  <si>
    <t>工作表标签</t>
    <phoneticPr fontId="2" type="noConversion"/>
  </si>
  <si>
    <t>收入预测表</t>
    <phoneticPr fontId="2" type="noConversion"/>
  </si>
  <si>
    <t>Revenues</t>
    <phoneticPr fontId="2" type="noConversion"/>
  </si>
  <si>
    <t>固定资产表</t>
    <phoneticPr fontId="2" type="noConversion"/>
  </si>
  <si>
    <t>融资计划表</t>
    <phoneticPr fontId="2" type="noConversion"/>
  </si>
  <si>
    <t>中间计算表</t>
    <phoneticPr fontId="2" type="noConversion"/>
  </si>
  <si>
    <t>Cals</t>
    <phoneticPr fontId="2" type="noConversion"/>
  </si>
  <si>
    <t>利润表</t>
    <phoneticPr fontId="2" type="noConversion"/>
  </si>
  <si>
    <t>比率表</t>
    <phoneticPr fontId="2" type="noConversion"/>
  </si>
  <si>
    <t>折现现金流模型</t>
    <phoneticPr fontId="2" type="noConversion"/>
  </si>
  <si>
    <r>
      <t>可比公司法</t>
    </r>
    <r>
      <rPr>
        <b/>
        <sz val="12"/>
        <color indexed="9"/>
        <rFont val="Arial"/>
        <family val="2"/>
      </rPr>
      <t xml:space="preserve"> Comparable Companies Analysis </t>
    </r>
    <phoneticPr fontId="6" type="noConversion"/>
  </si>
  <si>
    <r>
      <t>比率表</t>
    </r>
    <r>
      <rPr>
        <b/>
        <sz val="12"/>
        <color indexed="9"/>
        <rFont val="Arial"/>
        <family val="2"/>
      </rPr>
      <t xml:space="preserve"> Ratios</t>
    </r>
    <phoneticPr fontId="6" type="noConversion"/>
  </si>
  <si>
    <r>
      <t>收入预测表</t>
    </r>
    <r>
      <rPr>
        <b/>
        <sz val="12"/>
        <color indexed="9"/>
        <rFont val="Arial"/>
        <family val="2"/>
      </rPr>
      <t xml:space="preserve"> Revenues</t>
    </r>
    <phoneticPr fontId="6" type="noConversion"/>
  </si>
  <si>
    <r>
      <t>企业价值／息税折旧摊销前利润（</t>
    </r>
    <r>
      <rPr>
        <b/>
        <sz val="10"/>
        <rFont val="Arial"/>
        <family val="2"/>
      </rPr>
      <t>EV/EBITDA</t>
    </r>
    <r>
      <rPr>
        <b/>
        <sz val="10"/>
        <rFont val="宋体"/>
        <charset val="134"/>
      </rPr>
      <t>）</t>
    </r>
    <phoneticPr fontId="2" type="noConversion"/>
  </si>
  <si>
    <t>债务/总资本</t>
    <phoneticPr fontId="2" type="noConversion"/>
  </si>
  <si>
    <r>
      <t>固定资产表</t>
    </r>
    <r>
      <rPr>
        <b/>
        <sz val="12"/>
        <color indexed="9"/>
        <rFont val="Arial"/>
        <family val="2"/>
      </rPr>
      <t xml:space="preserve"> Property, Plant and Equipment</t>
    </r>
    <phoneticPr fontId="6" type="noConversion"/>
  </si>
  <si>
    <t>非核心资产</t>
  </si>
  <si>
    <t>非核心资产减少（增加）</t>
    <phoneticPr fontId="2" type="noConversion"/>
  </si>
  <si>
    <t>会计年度末</t>
    <phoneticPr fontId="15" type="noConversion"/>
  </si>
  <si>
    <t>12月31日</t>
    <phoneticPr fontId="2" type="noConversion"/>
  </si>
  <si>
    <t>输入数字假设，可以变动</t>
    <phoneticPr fontId="15" type="noConversion"/>
  </si>
  <si>
    <t>货币</t>
    <phoneticPr fontId="15" type="noConversion"/>
  </si>
  <si>
    <t>人民币</t>
    <phoneticPr fontId="15" type="noConversion"/>
  </si>
  <si>
    <t>历史或给定数字，不能变动</t>
    <phoneticPr fontId="15" type="noConversion"/>
  </si>
  <si>
    <t>数量单位</t>
    <phoneticPr fontId="15" type="noConversion"/>
  </si>
  <si>
    <t>百万</t>
    <phoneticPr fontId="15" type="noConversion"/>
  </si>
  <si>
    <t>公式，不能变动</t>
    <phoneticPr fontId="15" type="noConversion"/>
  </si>
  <si>
    <t>分析员</t>
    <phoneticPr fontId="15" type="noConversion"/>
  </si>
  <si>
    <t>=</t>
    <phoneticPr fontId="2" type="noConversion"/>
  </si>
  <si>
    <t>模型的批注</t>
    <phoneticPr fontId="2" type="noConversion"/>
  </si>
  <si>
    <t>电话</t>
    <phoneticPr fontId="15" type="noConversion"/>
  </si>
  <si>
    <t>最后修改日期</t>
    <phoneticPr fontId="15" type="noConversion"/>
  </si>
  <si>
    <t>Financial Projection and Valuation Model
Power  Company</t>
    <phoneticPr fontId="6" type="noConversion"/>
  </si>
  <si>
    <t>模型说明</t>
    <phoneticPr fontId="2" type="noConversion"/>
  </si>
  <si>
    <t>颜色区分</t>
    <phoneticPr fontId="15" type="noConversion"/>
  </si>
  <si>
    <t>电力公司财务预测与估值模型</t>
    <phoneticPr fontId="2" type="noConversion"/>
  </si>
  <si>
    <t>总装机容量（百万千瓦）</t>
    <phoneticPr fontId="2" type="noConversion"/>
  </si>
  <si>
    <t>折旧年份</t>
    <phoneticPr fontId="2" type="noConversion"/>
  </si>
  <si>
    <t>购建年份</t>
    <phoneticPr fontId="2" type="noConversion"/>
  </si>
  <si>
    <t>所得税率</t>
    <phoneticPr fontId="5" type="noConversion"/>
  </si>
  <si>
    <t>电力公司的分电比例</t>
    <phoneticPr fontId="2" type="noConversion"/>
  </si>
  <si>
    <r>
      <t>应付款项</t>
    </r>
    <r>
      <rPr>
        <sz val="10"/>
        <rFont val="Arial"/>
        <family val="2"/>
      </rPr>
      <t>/</t>
    </r>
    <r>
      <rPr>
        <sz val="10"/>
        <rFont val="宋体"/>
        <charset val="134"/>
      </rPr>
      <t>三峡总公司电费收入</t>
    </r>
    <phoneticPr fontId="2" type="noConversion"/>
  </si>
  <si>
    <t>应付款项</t>
    <phoneticPr fontId="2" type="noConversion"/>
  </si>
  <si>
    <t>总收入</t>
    <phoneticPr fontId="2" type="noConversion"/>
  </si>
  <si>
    <r>
      <t>应收款项</t>
    </r>
    <r>
      <rPr>
        <sz val="10"/>
        <rFont val="Arial"/>
        <family val="2"/>
      </rPr>
      <t>/</t>
    </r>
    <r>
      <rPr>
        <sz val="10"/>
        <rFont val="宋体"/>
        <charset val="134"/>
      </rPr>
      <t>（主营业务收入</t>
    </r>
    <r>
      <rPr>
        <sz val="10"/>
        <rFont val="Arial"/>
        <family val="2"/>
      </rPr>
      <t>+</t>
    </r>
    <r>
      <rPr>
        <sz val="10"/>
        <rFont val="宋体"/>
        <charset val="134"/>
      </rPr>
      <t>三峡总公司电费收入）</t>
    </r>
    <phoneticPr fontId="2" type="noConversion"/>
  </si>
  <si>
    <r>
      <t>P/</t>
    </r>
    <r>
      <rPr>
        <sz val="10"/>
        <rFont val="Arial"/>
        <family val="2"/>
      </rPr>
      <t xml:space="preserve">B </t>
    </r>
    <phoneticPr fontId="2" type="noConversion"/>
  </si>
  <si>
    <r>
      <t>其他流动资产</t>
    </r>
    <r>
      <rPr>
        <sz val="10"/>
        <rFont val="Arial"/>
        <family val="2"/>
      </rPr>
      <t>/</t>
    </r>
    <r>
      <rPr>
        <sz val="10"/>
        <rFont val="宋体"/>
        <charset val="134"/>
      </rPr>
      <t>总收入</t>
    </r>
    <phoneticPr fontId="2" type="noConversion"/>
  </si>
  <si>
    <r>
      <t>所需现金</t>
    </r>
    <r>
      <rPr>
        <sz val="10"/>
        <rFont val="Arial"/>
        <family val="2"/>
      </rPr>
      <t>/</t>
    </r>
    <r>
      <rPr>
        <sz val="10"/>
        <rFont val="宋体"/>
        <charset val="134"/>
      </rPr>
      <t>总收入</t>
    </r>
    <phoneticPr fontId="2" type="noConversion"/>
  </si>
  <si>
    <t>其他流动负债</t>
    <phoneticPr fontId="2" type="noConversion"/>
  </si>
  <si>
    <r>
      <t>其他流动负债</t>
    </r>
    <r>
      <rPr>
        <sz val="10"/>
        <rFont val="Arial"/>
        <family val="2"/>
      </rPr>
      <t>/</t>
    </r>
    <r>
      <rPr>
        <sz val="10"/>
        <rFont val="宋体"/>
        <charset val="134"/>
      </rPr>
      <t>营业成本</t>
    </r>
    <phoneticPr fontId="2" type="noConversion"/>
  </si>
  <si>
    <r>
      <t>经营性营运资金（</t>
    </r>
    <r>
      <rPr>
        <b/>
        <sz val="10"/>
        <rFont val="Arial"/>
        <family val="2"/>
      </rPr>
      <t>OWC</t>
    </r>
    <r>
      <rPr>
        <b/>
        <sz val="10"/>
        <rFont val="宋体"/>
        <charset val="134"/>
      </rPr>
      <t>）</t>
    </r>
    <phoneticPr fontId="2" type="noConversion"/>
  </si>
  <si>
    <t>经营性营运资金</t>
    <phoneticPr fontId="2" type="noConversion"/>
  </si>
  <si>
    <t>经营性营运资金减少（增加）</t>
    <phoneticPr fontId="2" type="noConversion"/>
  </si>
  <si>
    <t xml:space="preserve">EBITDA </t>
  </si>
  <si>
    <t>EBIT</t>
  </si>
  <si>
    <r>
      <rPr>
        <sz val="10"/>
        <rFont val="宋体"/>
        <charset val="134"/>
      </rPr>
      <t>总收入</t>
    </r>
  </si>
  <si>
    <r>
      <rPr>
        <sz val="10"/>
        <rFont val="宋体"/>
        <charset val="134"/>
      </rPr>
      <t>所得税率</t>
    </r>
  </si>
  <si>
    <r>
      <rPr>
        <sz val="10"/>
        <rFont val="宋体"/>
        <charset val="134"/>
      </rPr>
      <t>净利润</t>
    </r>
    <phoneticPr fontId="2" type="noConversion"/>
  </si>
  <si>
    <r>
      <rPr>
        <sz val="10"/>
        <rFont val="宋体"/>
        <charset val="134"/>
      </rPr>
      <t>财务费用</t>
    </r>
  </si>
  <si>
    <r>
      <rPr>
        <sz val="10"/>
        <rFont val="宋体"/>
        <charset val="134"/>
      </rPr>
      <t>融资缺口</t>
    </r>
  </si>
  <si>
    <r>
      <rPr>
        <sz val="10"/>
        <rFont val="宋体"/>
        <charset val="134"/>
      </rPr>
      <t>短期借款</t>
    </r>
  </si>
  <si>
    <r>
      <rPr>
        <sz val="10"/>
        <rFont val="宋体"/>
        <charset val="134"/>
      </rPr>
      <t>长期借款</t>
    </r>
  </si>
  <si>
    <r>
      <rPr>
        <sz val="10"/>
        <rFont val="宋体"/>
        <charset val="134"/>
      </rPr>
      <t>应付债券</t>
    </r>
  </si>
  <si>
    <r>
      <rPr>
        <sz val="10"/>
        <rFont val="宋体"/>
        <charset val="134"/>
      </rPr>
      <t>债务合计</t>
    </r>
    <phoneticPr fontId="2" type="noConversion"/>
  </si>
  <si>
    <r>
      <rPr>
        <sz val="10"/>
        <rFont val="宋体"/>
        <charset val="134"/>
      </rPr>
      <t>股东权益合计</t>
    </r>
  </si>
  <si>
    <r>
      <rPr>
        <sz val="10"/>
        <rFont val="宋体"/>
        <charset val="134"/>
      </rPr>
      <t>投入资本</t>
    </r>
    <phoneticPr fontId="2" type="noConversion"/>
  </si>
  <si>
    <r>
      <rPr>
        <sz val="10"/>
        <rFont val="宋体"/>
        <charset val="134"/>
      </rPr>
      <t>不含现金的投入资本</t>
    </r>
    <phoneticPr fontId="2" type="noConversion"/>
  </si>
  <si>
    <r>
      <rPr>
        <sz val="10"/>
        <rFont val="宋体"/>
        <charset val="134"/>
      </rPr>
      <t>资产总计</t>
    </r>
    <phoneticPr fontId="2" type="noConversion"/>
  </si>
  <si>
    <r>
      <rPr>
        <sz val="10"/>
        <rFont val="宋体"/>
        <charset val="134"/>
      </rPr>
      <t>经营活动现金流（</t>
    </r>
    <r>
      <rPr>
        <sz val="10"/>
        <rFont val="Arial"/>
        <family val="2"/>
      </rPr>
      <t>CFO</t>
    </r>
    <r>
      <rPr>
        <sz val="10"/>
        <rFont val="宋体"/>
        <charset val="134"/>
      </rPr>
      <t>）</t>
    </r>
    <phoneticPr fontId="2" type="noConversion"/>
  </si>
  <si>
    <r>
      <rPr>
        <sz val="10"/>
        <rFont val="宋体"/>
        <charset val="134"/>
      </rPr>
      <t>资本性支出</t>
    </r>
    <phoneticPr fontId="2" type="noConversion"/>
  </si>
  <si>
    <r>
      <rPr>
        <sz val="10"/>
        <rFont val="宋体"/>
        <charset val="134"/>
      </rPr>
      <t>总收入增长率</t>
    </r>
    <phoneticPr fontId="2" type="noConversion"/>
  </si>
  <si>
    <r>
      <t>EBITDA</t>
    </r>
    <r>
      <rPr>
        <sz val="10"/>
        <rFont val="宋体"/>
        <charset val="134"/>
      </rPr>
      <t>增长率</t>
    </r>
    <phoneticPr fontId="2" type="noConversion"/>
  </si>
  <si>
    <r>
      <t>EBIT</t>
    </r>
    <r>
      <rPr>
        <sz val="10"/>
        <rFont val="宋体"/>
        <charset val="134"/>
      </rPr>
      <t>增长率</t>
    </r>
    <phoneticPr fontId="2" type="noConversion"/>
  </si>
  <si>
    <r>
      <rPr>
        <sz val="10"/>
        <rFont val="宋体"/>
        <charset val="134"/>
      </rPr>
      <t>净利润增长率</t>
    </r>
    <phoneticPr fontId="2" type="noConversion"/>
  </si>
  <si>
    <r>
      <rPr>
        <sz val="10"/>
        <rFont val="宋体"/>
        <charset val="134"/>
      </rPr>
      <t>毛利率</t>
    </r>
    <phoneticPr fontId="2" type="noConversion"/>
  </si>
  <si>
    <r>
      <t>EBITDA/</t>
    </r>
    <r>
      <rPr>
        <sz val="10"/>
        <rFont val="宋体"/>
        <charset val="134"/>
      </rPr>
      <t>总收入</t>
    </r>
    <phoneticPr fontId="2" type="noConversion"/>
  </si>
  <si>
    <r>
      <t>EBIT/</t>
    </r>
    <r>
      <rPr>
        <sz val="10"/>
        <rFont val="宋体"/>
        <charset val="134"/>
      </rPr>
      <t>总收入</t>
    </r>
    <phoneticPr fontId="2" type="noConversion"/>
  </si>
  <si>
    <r>
      <rPr>
        <sz val="10"/>
        <rFont val="宋体"/>
        <charset val="134"/>
      </rPr>
      <t>净利润率</t>
    </r>
    <phoneticPr fontId="2" type="noConversion"/>
  </si>
  <si>
    <r>
      <rPr>
        <sz val="10"/>
        <rFont val="宋体"/>
        <charset val="134"/>
      </rPr>
      <t>净资产收益率（</t>
    </r>
    <r>
      <rPr>
        <sz val="10"/>
        <rFont val="Arial"/>
        <family val="2"/>
      </rPr>
      <t>ROE</t>
    </r>
    <r>
      <rPr>
        <sz val="10"/>
        <rFont val="宋体"/>
        <charset val="134"/>
      </rPr>
      <t>）</t>
    </r>
    <phoneticPr fontId="2" type="noConversion"/>
  </si>
  <si>
    <r>
      <rPr>
        <sz val="10"/>
        <rFont val="宋体"/>
        <charset val="134"/>
      </rPr>
      <t>总资产回报率（</t>
    </r>
    <r>
      <rPr>
        <sz val="10"/>
        <rFont val="Arial"/>
        <family val="2"/>
      </rPr>
      <t>ROA</t>
    </r>
    <r>
      <rPr>
        <sz val="10"/>
        <rFont val="宋体"/>
        <charset val="134"/>
      </rPr>
      <t>）</t>
    </r>
    <phoneticPr fontId="2" type="noConversion"/>
  </si>
  <si>
    <r>
      <rPr>
        <sz val="10"/>
        <rFont val="宋体"/>
        <charset val="134"/>
      </rPr>
      <t>投入资本回报率（</t>
    </r>
    <r>
      <rPr>
        <sz val="10"/>
        <rFont val="Arial"/>
        <family val="2"/>
      </rPr>
      <t>ROIC</t>
    </r>
    <r>
      <rPr>
        <sz val="10"/>
        <rFont val="宋体"/>
        <charset val="134"/>
      </rPr>
      <t>）</t>
    </r>
    <phoneticPr fontId="2" type="noConversion"/>
  </si>
  <si>
    <r>
      <rPr>
        <sz val="10"/>
        <rFont val="宋体"/>
        <charset val="134"/>
      </rPr>
      <t>不含现金的投入资本回报率（</t>
    </r>
    <r>
      <rPr>
        <sz val="10"/>
        <rFont val="Arial"/>
        <family val="2"/>
      </rPr>
      <t>ROIC</t>
    </r>
    <r>
      <rPr>
        <sz val="10"/>
        <rFont val="宋体"/>
        <charset val="134"/>
      </rPr>
      <t>）</t>
    </r>
    <phoneticPr fontId="2" type="noConversion"/>
  </si>
  <si>
    <r>
      <rPr>
        <sz val="10"/>
        <rFont val="宋体"/>
        <charset val="134"/>
      </rPr>
      <t>新投资的回报率</t>
    </r>
    <phoneticPr fontId="2" type="noConversion"/>
  </si>
  <si>
    <r>
      <rPr>
        <sz val="10"/>
        <rFont val="宋体"/>
        <charset val="134"/>
      </rPr>
      <t>流动比率</t>
    </r>
    <phoneticPr fontId="2" type="noConversion"/>
  </si>
  <si>
    <r>
      <rPr>
        <sz val="10"/>
        <rFont val="宋体"/>
        <charset val="134"/>
      </rPr>
      <t>速动比率</t>
    </r>
    <phoneticPr fontId="2" type="noConversion"/>
  </si>
  <si>
    <r>
      <rPr>
        <sz val="10"/>
        <rFont val="宋体"/>
        <charset val="134"/>
      </rPr>
      <t>现金比率</t>
    </r>
    <phoneticPr fontId="2" type="noConversion"/>
  </si>
  <si>
    <r>
      <t>EBITDA/</t>
    </r>
    <r>
      <rPr>
        <sz val="10"/>
        <rFont val="宋体"/>
        <charset val="134"/>
      </rPr>
      <t>财务费用</t>
    </r>
    <phoneticPr fontId="2" type="noConversion"/>
  </si>
  <si>
    <r>
      <t>CFO/</t>
    </r>
    <r>
      <rPr>
        <sz val="10"/>
        <rFont val="宋体"/>
        <charset val="134"/>
      </rPr>
      <t>付息债务合计</t>
    </r>
    <phoneticPr fontId="2" type="noConversion"/>
  </si>
  <si>
    <r>
      <rPr>
        <sz val="10"/>
        <rFont val="宋体"/>
        <charset val="134"/>
      </rPr>
      <t>应收款项周转率</t>
    </r>
    <phoneticPr fontId="2" type="noConversion"/>
  </si>
  <si>
    <r>
      <rPr>
        <sz val="10"/>
        <rFont val="宋体"/>
        <charset val="134"/>
      </rPr>
      <t>应付款项周转率</t>
    </r>
    <phoneticPr fontId="2" type="noConversion"/>
  </si>
  <si>
    <r>
      <rPr>
        <sz val="10"/>
        <rFont val="宋体"/>
        <charset val="134"/>
      </rPr>
      <t>固定资产周转率</t>
    </r>
    <phoneticPr fontId="2" type="noConversion"/>
  </si>
  <si>
    <r>
      <rPr>
        <sz val="10"/>
        <rFont val="宋体"/>
        <charset val="134"/>
      </rPr>
      <t>总资产周转率</t>
    </r>
    <phoneticPr fontId="2" type="noConversion"/>
  </si>
  <si>
    <r>
      <rPr>
        <sz val="10"/>
        <rFont val="宋体"/>
        <charset val="134"/>
      </rPr>
      <t>债务权益比率</t>
    </r>
    <phoneticPr fontId="2" type="noConversion"/>
  </si>
  <si>
    <r>
      <rPr>
        <sz val="10"/>
        <rFont val="宋体"/>
        <charset val="134"/>
      </rPr>
      <t>资产负债率</t>
    </r>
    <phoneticPr fontId="2" type="noConversion"/>
  </si>
  <si>
    <r>
      <rPr>
        <sz val="10"/>
        <rFont val="宋体"/>
        <charset val="134"/>
      </rPr>
      <t>平均总资产</t>
    </r>
    <r>
      <rPr>
        <sz val="10"/>
        <rFont val="Arial"/>
        <family val="2"/>
      </rPr>
      <t>/</t>
    </r>
    <r>
      <rPr>
        <sz val="10"/>
        <rFont val="宋体"/>
        <charset val="134"/>
      </rPr>
      <t>平均股东权益</t>
    </r>
    <phoneticPr fontId="2" type="noConversion"/>
  </si>
  <si>
    <r>
      <rPr>
        <sz val="10"/>
        <rFont val="宋体"/>
        <charset val="134"/>
      </rPr>
      <t>税前债务成本</t>
    </r>
    <phoneticPr fontId="2" type="noConversion"/>
  </si>
  <si>
    <r>
      <rPr>
        <sz val="10"/>
        <rFont val="宋体"/>
        <charset val="134"/>
      </rPr>
      <t>边际税率</t>
    </r>
    <phoneticPr fontId="2" type="noConversion"/>
  </si>
  <si>
    <r>
      <rPr>
        <sz val="10"/>
        <rFont val="宋体"/>
        <charset val="134"/>
      </rPr>
      <t>无风险利率</t>
    </r>
    <phoneticPr fontId="2" type="noConversion"/>
  </si>
  <si>
    <r>
      <rPr>
        <sz val="10"/>
        <rFont val="宋体"/>
        <charset val="134"/>
      </rPr>
      <t>市场收益率</t>
    </r>
    <phoneticPr fontId="2" type="noConversion"/>
  </si>
  <si>
    <r>
      <t>BETA</t>
    </r>
    <r>
      <rPr>
        <sz val="10"/>
        <rFont val="宋体"/>
        <charset val="134"/>
      </rPr>
      <t>系数</t>
    </r>
    <phoneticPr fontId="2" type="noConversion"/>
  </si>
  <si>
    <r>
      <rPr>
        <sz val="10"/>
        <rFont val="宋体"/>
        <charset val="134"/>
      </rPr>
      <t>目标股权比例</t>
    </r>
    <phoneticPr fontId="2" type="noConversion"/>
  </si>
  <si>
    <r>
      <rPr>
        <sz val="10"/>
        <rFont val="宋体"/>
        <charset val="134"/>
      </rPr>
      <t>目标债务比例</t>
    </r>
    <phoneticPr fontId="2" type="noConversion"/>
  </si>
  <si>
    <r>
      <rPr>
        <sz val="10"/>
        <rFont val="宋体"/>
        <charset val="134"/>
      </rPr>
      <t>股权成本</t>
    </r>
    <phoneticPr fontId="2" type="noConversion"/>
  </si>
  <si>
    <r>
      <rPr>
        <sz val="10"/>
        <rFont val="宋体"/>
        <charset val="134"/>
      </rPr>
      <t>税后债务成本</t>
    </r>
    <phoneticPr fontId="2" type="noConversion"/>
  </si>
  <si>
    <r>
      <rPr>
        <sz val="10"/>
        <rFont val="宋体"/>
        <charset val="134"/>
      </rPr>
      <t>（调整的所得税）</t>
    </r>
    <phoneticPr fontId="2" type="noConversion"/>
  </si>
  <si>
    <r>
      <rPr>
        <sz val="10"/>
        <rFont val="宋体"/>
        <charset val="134"/>
      </rPr>
      <t>折旧</t>
    </r>
  </si>
  <si>
    <r>
      <rPr>
        <sz val="10"/>
        <rFont val="宋体"/>
        <charset val="134"/>
      </rPr>
      <t>摊销</t>
    </r>
  </si>
  <si>
    <r>
      <rPr>
        <sz val="10"/>
        <rFont val="宋体"/>
        <charset val="134"/>
      </rPr>
      <t>经营性营运资金减少（增加）</t>
    </r>
  </si>
  <si>
    <r>
      <rPr>
        <sz val="10"/>
        <color indexed="8"/>
        <rFont val="宋体"/>
        <charset val="134"/>
      </rPr>
      <t>（固定资产购建）</t>
    </r>
  </si>
  <si>
    <r>
      <rPr>
        <sz val="10"/>
        <color indexed="8"/>
        <rFont val="宋体"/>
        <charset val="134"/>
      </rPr>
      <t>（无形资产购建）</t>
    </r>
  </si>
  <si>
    <r>
      <rPr>
        <b/>
        <sz val="10"/>
        <rFont val="宋体"/>
        <charset val="134"/>
      </rPr>
      <t>无杠杆自由现金流合计</t>
    </r>
    <phoneticPr fontId="2" type="noConversion"/>
  </si>
  <si>
    <r>
      <rPr>
        <sz val="10"/>
        <rFont val="宋体"/>
        <charset val="134"/>
      </rPr>
      <t>折现年份</t>
    </r>
    <phoneticPr fontId="5" type="noConversion"/>
  </si>
  <si>
    <r>
      <rPr>
        <sz val="10"/>
        <rFont val="宋体"/>
        <charset val="134"/>
      </rPr>
      <t>折现因子</t>
    </r>
    <phoneticPr fontId="5" type="noConversion"/>
  </si>
  <si>
    <r>
      <rPr>
        <sz val="10"/>
        <rFont val="宋体"/>
        <charset val="134"/>
      </rPr>
      <t>现值</t>
    </r>
    <phoneticPr fontId="5" type="noConversion"/>
  </si>
  <si>
    <r>
      <rPr>
        <sz val="10"/>
        <rFont val="宋体"/>
        <charset val="134"/>
      </rPr>
      <t>终值计算</t>
    </r>
    <phoneticPr fontId="5" type="noConversion"/>
  </si>
  <si>
    <r>
      <rPr>
        <sz val="10"/>
        <rFont val="宋体"/>
        <charset val="134"/>
      </rPr>
      <t>终值的现值</t>
    </r>
    <phoneticPr fontId="5" type="noConversion"/>
  </si>
  <si>
    <r>
      <rPr>
        <b/>
        <sz val="10"/>
        <rFont val="宋体"/>
        <charset val="134"/>
      </rPr>
      <t>企业价值（</t>
    </r>
    <r>
      <rPr>
        <b/>
        <sz val="10"/>
        <rFont val="Arial"/>
        <family val="2"/>
      </rPr>
      <t>EV</t>
    </r>
    <r>
      <rPr>
        <b/>
        <sz val="10"/>
        <rFont val="宋体"/>
        <charset val="134"/>
      </rPr>
      <t>）</t>
    </r>
    <phoneticPr fontId="5" type="noConversion"/>
  </si>
  <si>
    <r>
      <rPr>
        <sz val="10"/>
        <rFont val="宋体"/>
        <charset val="134"/>
      </rPr>
      <t>货币资金</t>
    </r>
  </si>
  <si>
    <r>
      <rPr>
        <sz val="10"/>
        <rFont val="宋体"/>
        <charset val="134"/>
      </rPr>
      <t>非核心资产</t>
    </r>
  </si>
  <si>
    <r>
      <rPr>
        <sz val="10"/>
        <rFont val="宋体"/>
        <charset val="134"/>
      </rPr>
      <t>债务合计</t>
    </r>
  </si>
  <si>
    <r>
      <rPr>
        <b/>
        <sz val="10"/>
        <rFont val="宋体"/>
        <charset val="134"/>
      </rPr>
      <t>内含股权价值</t>
    </r>
    <phoneticPr fontId="2" type="noConversion"/>
  </si>
  <si>
    <r>
      <rPr>
        <sz val="10"/>
        <rFont val="宋体"/>
        <charset val="134"/>
      </rPr>
      <t>已发行普通股数（百万股）</t>
    </r>
  </si>
  <si>
    <r>
      <rPr>
        <b/>
        <sz val="10"/>
        <rFont val="宋体"/>
        <charset val="134"/>
      </rPr>
      <t>内含股价（元</t>
    </r>
    <r>
      <rPr>
        <b/>
        <sz val="10"/>
        <rFont val="Arial"/>
        <family val="2"/>
      </rPr>
      <t>/</t>
    </r>
    <r>
      <rPr>
        <b/>
        <sz val="10"/>
        <rFont val="宋体"/>
        <charset val="134"/>
      </rPr>
      <t>股）</t>
    </r>
    <phoneticPr fontId="2" type="noConversion"/>
  </si>
  <si>
    <t>无杠杆自由现金流</t>
    <phoneticPr fontId="2" type="noConversion"/>
  </si>
  <si>
    <r>
      <t>长期增长率（</t>
    </r>
    <r>
      <rPr>
        <b/>
        <sz val="10"/>
        <rFont val="Arial"/>
        <family val="2"/>
      </rPr>
      <t>g</t>
    </r>
    <r>
      <rPr>
        <b/>
        <sz val="10"/>
        <rFont val="宋体"/>
        <charset val="134"/>
      </rPr>
      <t>）</t>
    </r>
    <phoneticPr fontId="5" type="noConversion"/>
  </si>
  <si>
    <t>预测期现金流现值和</t>
    <phoneticPr fontId="5" type="noConversion"/>
  </si>
  <si>
    <r>
      <rPr>
        <b/>
        <sz val="10"/>
        <rFont val="宋体"/>
        <charset val="134"/>
      </rPr>
      <t>长期增长率（</t>
    </r>
    <r>
      <rPr>
        <b/>
        <sz val="10"/>
        <rFont val="Arial"/>
        <family val="2"/>
      </rPr>
      <t>g</t>
    </r>
    <r>
      <rPr>
        <b/>
        <sz val="10"/>
        <rFont val="宋体"/>
        <charset val="134"/>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</si>
</sst>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0">
    <numFmt numFmtId="184" formatCode="#,##0.0_);\(#,##0.0\)"/>
    <numFmt numFmtId="186" formatCode="#,##0_);\(#,##0\)"/>
    <numFmt numFmtId="187" formatCode="0.0%"/>
    <numFmt numFmtId="188" formatCode="#,##0.00_);\(#,##0.00\)"/>
    <numFmt numFmtId="190" formatCode="0.00_);[Red]\(0.00\)"/>
    <numFmt numFmtId="191" formatCode="0.0_ "/>
    <numFmt numFmtId="192" formatCode="0.000%"/>
    <numFmt numFmtId="193" formatCode="0.0\ \x"/>
    <numFmt numFmtId="194" formatCode="0.0%______\~"/>
    <numFmt numFmtId="195" formatCode="0.00______\~"/>
    <numFmt numFmtId="196" formatCode="yyyy&quot;年&quot;"/>
    <numFmt numFmtId="197" formatCode="0.00_ "/>
    <numFmt numFmtId="199" formatCode="0.0_);[Red]\(0.0\)"/>
    <numFmt numFmtId="200" formatCode="#,##0.0_ "/>
    <numFmt numFmtId="201" formatCode="#,##0.0_);[Red]\(#,##0.0\)"/>
    <numFmt numFmtId="203" formatCode="0%_);\(0%\)"/>
    <numFmt numFmtId="204" formatCode="yyyy\ &quot;年&quot;"/>
    <numFmt numFmtId="205" formatCode="yyyy\A"/>
    <numFmt numFmtId="206" formatCode="yyyy&quot;E&quot;"/>
    <numFmt numFmtId="207" formatCode="0_);\(0\)"/>
  </numFmts>
  <fonts count="43" x14ac:knownFonts="1">
    <font>
      <sz val="10"/>
      <name val="Arial"/>
      <family val="2"/>
    </font>
    <font>
      <sz val="12"/>
      <name val="宋体"/>
      <charset val="134"/>
    </font>
    <font>
      <sz val="9"/>
      <name val="宋体"/>
      <charset val="134"/>
    </font>
    <font>
      <sz val="10"/>
      <name val="宋体"/>
      <charset val="134"/>
    </font>
    <font>
      <b/>
      <sz val="10"/>
      <name val="宋体"/>
      <charset val="134"/>
    </font>
    <font>
      <sz val="8"/>
      <name val="Arial"/>
      <family val="2"/>
    </font>
    <font>
      <sz val="10"/>
      <name val="Arial"/>
      <family val="2"/>
    </font>
    <font>
      <b/>
      <sz val="10"/>
      <name val="Arial"/>
      <family val="2"/>
    </font>
    <font>
      <sz val="10"/>
      <color indexed="12"/>
      <name val="Arial"/>
      <family val="2"/>
    </font>
    <font>
      <sz val="10"/>
      <color indexed="8"/>
      <name val="Arial"/>
      <family val="2"/>
    </font>
    <font>
      <sz val="10"/>
      <color indexed="10"/>
      <name val="Arial"/>
      <family val="2"/>
    </font>
    <font>
      <sz val="9"/>
      <color indexed="81"/>
      <name val="宋体"/>
      <charset val="134"/>
    </font>
    <font>
      <b/>
      <sz val="9"/>
      <color indexed="81"/>
      <name val="宋体"/>
      <charset val="134"/>
    </font>
    <font>
      <sz val="10"/>
      <color indexed="8"/>
      <name val="宋体"/>
      <charset val="134"/>
    </font>
    <font>
      <b/>
      <sz val="10"/>
      <color indexed="8"/>
      <name val="宋体"/>
      <charset val="134"/>
    </font>
    <font>
      <b/>
      <sz val="8"/>
      <name val="Arial"/>
      <family val="2"/>
    </font>
    <font>
      <sz val="10"/>
      <color indexed="9"/>
      <name val="Arial"/>
      <family val="2"/>
    </font>
    <font>
      <b/>
      <sz val="10"/>
      <color indexed="12"/>
      <name val="Arial"/>
      <family val="2"/>
    </font>
    <font>
      <b/>
      <sz val="10"/>
      <color indexed="8"/>
      <name val="Arial"/>
      <family val="2"/>
    </font>
    <font>
      <sz val="10"/>
      <color indexed="8"/>
      <name val="Arial"/>
      <family val="2"/>
    </font>
    <font>
      <sz val="9"/>
      <color indexed="81"/>
      <name val="Arial"/>
      <family val="2"/>
    </font>
    <font>
      <b/>
      <sz val="10"/>
      <color indexed="9"/>
      <name val="Arial"/>
      <family val="2"/>
    </font>
    <font>
      <b/>
      <sz val="16"/>
      <color indexed="9"/>
      <name val="宋体"/>
      <charset val="134"/>
    </font>
    <font>
      <b/>
      <sz val="16"/>
      <color indexed="9"/>
      <name val="Arial"/>
      <family val="2"/>
    </font>
    <font>
      <b/>
      <sz val="12"/>
      <color indexed="9"/>
      <name val="宋体"/>
      <charset val="134"/>
    </font>
    <font>
      <b/>
      <sz val="12"/>
      <color indexed="9"/>
      <name val="Arial"/>
      <family val="2"/>
    </font>
    <font>
      <u/>
      <sz val="10"/>
      <name val="Arial"/>
      <family val="2"/>
    </font>
    <font>
      <sz val="10"/>
      <name val="Arial"/>
      <family val="2"/>
    </font>
    <font>
      <b/>
      <sz val="12"/>
      <name val="Arial"/>
      <family val="2"/>
    </font>
    <font>
      <sz val="18"/>
      <color indexed="9"/>
      <name val="Arial"/>
      <family val="2"/>
    </font>
    <font>
      <b/>
      <sz val="12"/>
      <name val="华文楷体"/>
      <charset val="134"/>
    </font>
    <font>
      <b/>
      <sz val="11"/>
      <name val="宋体"/>
      <charset val="134"/>
    </font>
    <font>
      <b/>
      <sz val="24"/>
      <color indexed="9"/>
      <name val="宋体"/>
      <charset val="134"/>
    </font>
    <font>
      <sz val="10"/>
      <name val="宋体"/>
      <charset val="134"/>
    </font>
    <font>
      <sz val="10"/>
      <name val="宋体"/>
      <charset val="134"/>
    </font>
    <font>
      <b/>
      <sz val="10"/>
      <name val="宋体"/>
      <charset val="134"/>
    </font>
    <font>
      <sz val="10"/>
      <name val="宋体"/>
      <charset val="134"/>
    </font>
    <font>
      <sz val="10"/>
      <color indexed="8"/>
      <name val="宋体"/>
      <charset val="134"/>
    </font>
    <font>
      <b/>
      <sz val="10"/>
      <color indexed="8"/>
      <name val="宋体"/>
      <charset val="134"/>
    </font>
    <font>
      <b/>
      <sz val="10"/>
      <name val="宋体"/>
      <charset val="134"/>
    </font>
    <font>
      <sz val="10"/>
      <name val="宋体"/>
      <charset val="134"/>
    </font>
    <font>
      <sz val="10"/>
      <name val="宋体"/>
      <charset val="134"/>
      <scheme val="major"/>
    </font>
    <font>
      <b/>
      <sz val="10"/>
      <name val="宋体"/>
      <charset val="134"/>
      <scheme val="major"/>
    </font>
  </fonts>
  <fills count="7">
    <fill>
      <patternFill patternType="none"/>
    </fill>
    <fill>
      <patternFill patternType="gray125"/>
    </fill>
    <fill>
      <patternFill patternType="solid">
        <fgColor indexed="41"/>
        <bgColor indexed="64"/>
      </patternFill>
    </fill>
    <fill>
      <patternFill patternType="solid">
        <fgColor indexed="18"/>
        <bgColor indexed="64"/>
      </patternFill>
    </fill>
    <fill>
      <patternFill patternType="solid">
        <fgColor indexed="9"/>
        <bgColor indexed="64"/>
      </patternFill>
    </fill>
    <fill>
      <patternFill patternType="solid">
        <fgColor indexed="44"/>
        <bgColor indexed="64"/>
      </patternFill>
    </fill>
    <fill>
      <patternFill patternType="solid">
        <fgColor indexed="22"/>
        <bgColor indexed="64"/>
      </patternFill>
    </fill>
  </fills>
  <borders count="36">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dotted">
        <color indexed="64"/>
      </left>
      <right/>
      <top/>
      <bottom/>
      <diagonal/>
    </border>
    <border>
      <left/>
      <right style="thin">
        <color indexed="64"/>
      </right>
      <top style="medium">
        <color indexed="64"/>
      </top>
      <bottom/>
      <diagonal/>
    </border>
    <border>
      <left/>
      <right/>
      <top style="medium">
        <color indexed="64"/>
      </top>
      <bottom/>
      <diagonal/>
    </border>
    <border>
      <left style="dotted">
        <color indexed="64"/>
      </left>
      <right/>
      <top style="medium">
        <color indexed="64"/>
      </top>
      <bottom/>
      <diagonal/>
    </border>
    <border>
      <left/>
      <right style="dotted">
        <color indexed="64"/>
      </right>
      <top style="medium">
        <color indexed="64"/>
      </top>
      <bottom/>
      <diagonal/>
    </border>
    <border>
      <left style="dotted">
        <color indexed="64"/>
      </left>
      <right/>
      <top/>
      <bottom style="medium">
        <color indexed="64"/>
      </bottom>
      <diagonal/>
    </border>
    <border>
      <left/>
      <right/>
      <top/>
      <bottom style="medium">
        <color indexed="64"/>
      </bottom>
      <diagonal/>
    </border>
    <border>
      <left/>
      <right style="dotted">
        <color indexed="64"/>
      </right>
      <top/>
      <bottom style="medium">
        <color indexed="64"/>
      </bottom>
      <diagonal/>
    </border>
    <border>
      <left style="dotted">
        <color indexed="64"/>
      </left>
      <right style="dotted">
        <color indexed="64"/>
      </right>
      <top style="medium">
        <color indexed="64"/>
      </top>
      <bottom/>
      <diagonal/>
    </border>
    <border>
      <left/>
      <right style="dotted">
        <color indexed="64"/>
      </right>
      <top/>
      <bottom/>
      <diagonal/>
    </border>
    <border>
      <left style="dotted">
        <color indexed="64"/>
      </left>
      <right style="dotted">
        <color indexed="64"/>
      </right>
      <top/>
      <bottom/>
      <diagonal/>
    </border>
    <border>
      <left/>
      <right/>
      <top style="thin">
        <color indexed="64"/>
      </top>
      <bottom style="medium">
        <color indexed="64"/>
      </bottom>
      <diagonal/>
    </border>
    <border>
      <left/>
      <right style="dotted">
        <color indexed="64"/>
      </right>
      <top style="thin">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bottom style="hair">
        <color indexed="64"/>
      </bottom>
      <diagonal/>
    </border>
    <border>
      <left/>
      <right/>
      <top style="hair">
        <color indexed="64"/>
      </top>
      <bottom style="hair">
        <color indexed="64"/>
      </bottom>
      <diagonal/>
    </border>
    <border>
      <left style="thin">
        <color indexed="64"/>
      </left>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style="medium">
        <color indexed="64"/>
      </bottom>
      <diagonal/>
    </border>
    <border>
      <left style="thin">
        <color indexed="64"/>
      </left>
      <right/>
      <top style="medium">
        <color indexed="64"/>
      </top>
      <bottom/>
      <diagonal/>
    </border>
    <border>
      <left style="dotted">
        <color indexed="64"/>
      </left>
      <right style="dotted">
        <color indexed="64"/>
      </right>
      <top/>
      <bottom style="medium">
        <color indexed="64"/>
      </bottom>
      <diagonal/>
    </border>
  </borders>
  <cellStyleXfs count="2">
    <xf numFmtId="0" fontId="0" fillId="0" borderId="0"/>
    <xf numFmtId="9" fontId="1" fillId="0" borderId="0" applyFont="0" applyFill="0" applyBorder="0" applyAlignment="0" applyProtection="0"/>
  </cellStyleXfs>
  <cellXfs count="294">
    <xf numFmtId="0" fontId="0" fillId="0" borderId="0" xfId="0"/>
    <xf numFmtId="0" fontId="3" fillId="0" borderId="0" xfId="0" applyFont="1" applyAlignment="1"/>
    <xf numFmtId="0" fontId="3" fillId="0" borderId="0" xfId="0" applyFont="1"/>
    <xf numFmtId="0" fontId="3" fillId="0" borderId="0" xfId="0" applyNumberFormat="1" applyFont="1" applyAlignment="1"/>
    <xf numFmtId="0" fontId="4" fillId="0" borderId="0" xfId="0" applyFont="1" applyAlignment="1"/>
    <xf numFmtId="0" fontId="4" fillId="0" borderId="0" xfId="0" applyFont="1"/>
    <xf numFmtId="0" fontId="7" fillId="0" borderId="0" xfId="0" applyFont="1"/>
    <xf numFmtId="0" fontId="9" fillId="0" borderId="0" xfId="0" applyFont="1"/>
    <xf numFmtId="184" fontId="8" fillId="0" borderId="0" xfId="0" applyNumberFormat="1" applyFont="1" applyAlignment="1"/>
    <xf numFmtId="184" fontId="8" fillId="0" borderId="0" xfId="0" applyNumberFormat="1" applyFont="1"/>
    <xf numFmtId="0" fontId="3" fillId="0" borderId="0" xfId="0" applyFont="1" applyFill="1"/>
    <xf numFmtId="0" fontId="3" fillId="0" borderId="0" xfId="0" applyFont="1" applyBorder="1"/>
    <xf numFmtId="184" fontId="7" fillId="0" borderId="0" xfId="0" applyNumberFormat="1" applyFont="1" applyAlignment="1"/>
    <xf numFmtId="0" fontId="3" fillId="0" borderId="0" xfId="0" applyFont="1" applyFill="1" applyAlignment="1"/>
    <xf numFmtId="184" fontId="10" fillId="0" borderId="0" xfId="0" applyNumberFormat="1" applyFont="1" applyFill="1"/>
    <xf numFmtId="184" fontId="7" fillId="0" borderId="0" xfId="0" applyNumberFormat="1" applyFont="1"/>
    <xf numFmtId="0" fontId="8" fillId="0" borderId="0" xfId="0" applyNumberFormat="1" applyFont="1" applyFill="1"/>
    <xf numFmtId="184" fontId="7" fillId="0" borderId="0" xfId="0" applyNumberFormat="1" applyFont="1" applyFill="1" applyAlignment="1">
      <alignment horizontal="center"/>
    </xf>
    <xf numFmtId="0" fontId="13" fillId="0" borderId="0" xfId="0" applyFont="1"/>
    <xf numFmtId="0" fontId="14" fillId="0" borderId="0" xfId="0" applyFont="1"/>
    <xf numFmtId="0" fontId="7" fillId="0" borderId="0" xfId="0" applyFont="1" applyFill="1" applyAlignment="1">
      <alignment horizontal="left"/>
    </xf>
    <xf numFmtId="184" fontId="8" fillId="0" borderId="0" xfId="0" applyNumberFormat="1" applyFont="1" applyFill="1"/>
    <xf numFmtId="188" fontId="10" fillId="0" borderId="0" xfId="0" applyNumberFormat="1" applyFont="1" applyFill="1"/>
    <xf numFmtId="188" fontId="8" fillId="0" borderId="0" xfId="0" applyNumberFormat="1" applyFont="1" applyFill="1"/>
    <xf numFmtId="188" fontId="8" fillId="0" borderId="0" xfId="0" applyNumberFormat="1" applyFont="1" applyAlignment="1"/>
    <xf numFmtId="0" fontId="7" fillId="0" borderId="0" xfId="0" applyFont="1" applyAlignment="1"/>
    <xf numFmtId="0" fontId="7" fillId="0" borderId="0" xfId="0" applyFont="1" applyFill="1"/>
    <xf numFmtId="187" fontId="8" fillId="0" borderId="0" xfId="0" applyNumberFormat="1" applyFont="1" applyFill="1"/>
    <xf numFmtId="184" fontId="17" fillId="0" borderId="0" xfId="0" applyNumberFormat="1" applyFont="1" applyAlignment="1"/>
    <xf numFmtId="0" fontId="7" fillId="0" borderId="0" xfId="0" applyFont="1" applyBorder="1"/>
    <xf numFmtId="0" fontId="4" fillId="0" borderId="0" xfId="0" applyFont="1" applyBorder="1" applyAlignment="1"/>
    <xf numFmtId="184" fontId="7" fillId="0" borderId="0" xfId="0" applyNumberFormat="1" applyFont="1" applyBorder="1" applyAlignment="1"/>
    <xf numFmtId="184" fontId="7" fillId="0" borderId="0" xfId="0" applyNumberFormat="1" applyFont="1" applyBorder="1"/>
    <xf numFmtId="0" fontId="4" fillId="0" borderId="0" xfId="0" applyFont="1" applyBorder="1"/>
    <xf numFmtId="184" fontId="3" fillId="0" borderId="0" xfId="0" applyNumberFormat="1" applyFont="1" applyAlignment="1"/>
    <xf numFmtId="0" fontId="4" fillId="0" borderId="0" xfId="0" applyFont="1" applyFill="1" applyAlignment="1"/>
    <xf numFmtId="0" fontId="4" fillId="0" borderId="0" xfId="0" applyFont="1" applyFill="1"/>
    <xf numFmtId="186" fontId="4" fillId="0" borderId="0" xfId="0" applyNumberFormat="1" applyFont="1" applyFill="1"/>
    <xf numFmtId="187" fontId="8" fillId="0" borderId="0" xfId="0" applyNumberFormat="1" applyFont="1" applyAlignment="1"/>
    <xf numFmtId="184" fontId="17" fillId="0" borderId="0" xfId="0" applyNumberFormat="1" applyFont="1"/>
    <xf numFmtId="15" fontId="7" fillId="0" borderId="0" xfId="0" applyNumberFormat="1" applyFont="1" applyBorder="1"/>
    <xf numFmtId="186" fontId="3" fillId="0" borderId="0" xfId="0" applyNumberFormat="1" applyFont="1" applyAlignment="1"/>
    <xf numFmtId="184" fontId="7" fillId="0" borderId="0" xfId="0" applyNumberFormat="1" applyFont="1" applyFill="1"/>
    <xf numFmtId="9" fontId="8" fillId="0" borderId="0" xfId="0" applyNumberFormat="1" applyFont="1" applyAlignment="1"/>
    <xf numFmtId="10" fontId="8" fillId="0" borderId="0" xfId="0" applyNumberFormat="1" applyFont="1" applyAlignment="1"/>
    <xf numFmtId="184" fontId="8" fillId="2" borderId="1" xfId="0" applyNumberFormat="1" applyFont="1" applyFill="1" applyBorder="1"/>
    <xf numFmtId="187" fontId="8" fillId="2" borderId="1" xfId="0" applyNumberFormat="1" applyFont="1" applyFill="1" applyBorder="1"/>
    <xf numFmtId="188" fontId="8" fillId="2" borderId="1" xfId="0" applyNumberFormat="1" applyFont="1" applyFill="1" applyBorder="1"/>
    <xf numFmtId="184" fontId="8" fillId="0" borderId="0" xfId="0" applyNumberFormat="1" applyFont="1" applyFill="1" applyAlignment="1"/>
    <xf numFmtId="190" fontId="7" fillId="0" borderId="0" xfId="0" applyNumberFormat="1" applyFont="1" applyFill="1"/>
    <xf numFmtId="199" fontId="3" fillId="0" borderId="0" xfId="0" applyNumberFormat="1" applyFont="1" applyFill="1"/>
    <xf numFmtId="184" fontId="9" fillId="0" borderId="0" xfId="0" applyNumberFormat="1" applyFont="1"/>
    <xf numFmtId="184" fontId="9" fillId="0" borderId="0" xfId="0" applyNumberFormat="1" applyFont="1" applyAlignment="1"/>
    <xf numFmtId="184" fontId="9" fillId="0" borderId="0" xfId="0" applyNumberFormat="1" applyFont="1" applyFill="1"/>
    <xf numFmtId="0" fontId="18" fillId="0" borderId="0" xfId="0" applyFont="1" applyAlignment="1"/>
    <xf numFmtId="184" fontId="18" fillId="0" borderId="0" xfId="0" applyNumberFormat="1" applyFont="1"/>
    <xf numFmtId="187" fontId="8" fillId="2" borderId="1" xfId="0" applyNumberFormat="1" applyFont="1" applyFill="1" applyBorder="1" applyAlignment="1"/>
    <xf numFmtId="184" fontId="27" fillId="0" borderId="0" xfId="0" applyNumberFormat="1" applyFont="1" applyAlignment="1">
      <alignment horizontal="center"/>
    </xf>
    <xf numFmtId="0" fontId="8" fillId="0" borderId="0" xfId="0" applyFont="1"/>
    <xf numFmtId="0" fontId="3" fillId="0" borderId="2" xfId="0" applyFont="1" applyBorder="1" applyAlignment="1"/>
    <xf numFmtId="188" fontId="8" fillId="0" borderId="3" xfId="0" applyNumberFormat="1" applyFont="1" applyBorder="1" applyAlignment="1">
      <alignment horizontal="center"/>
    </xf>
    <xf numFmtId="188" fontId="8" fillId="2" borderId="1" xfId="0" applyNumberFormat="1" applyFont="1" applyFill="1" applyBorder="1" applyAlignment="1">
      <alignment horizontal="center"/>
    </xf>
    <xf numFmtId="188" fontId="8" fillId="0" borderId="3" xfId="0" applyNumberFormat="1" applyFont="1" applyFill="1" applyBorder="1" applyAlignment="1">
      <alignment horizontal="center"/>
    </xf>
    <xf numFmtId="0" fontId="3" fillId="0" borderId="2" xfId="0" applyFont="1" applyFill="1" applyBorder="1" applyAlignment="1">
      <alignment horizontal="center"/>
    </xf>
    <xf numFmtId="0" fontId="4" fillId="0" borderId="4" xfId="0" applyFont="1" applyBorder="1" applyAlignment="1">
      <alignment horizontal="center"/>
    </xf>
    <xf numFmtId="188" fontId="7" fillId="0" borderId="5" xfId="0" applyNumberFormat="1" applyFont="1" applyBorder="1" applyAlignment="1">
      <alignment horizontal="center"/>
    </xf>
    <xf numFmtId="188" fontId="7" fillId="0" borderId="6" xfId="0" applyNumberFormat="1" applyFont="1" applyBorder="1" applyAlignment="1">
      <alignment horizontal="center"/>
    </xf>
    <xf numFmtId="188" fontId="7" fillId="0" borderId="7" xfId="0" applyNumberFormat="1" applyFont="1" applyBorder="1" applyAlignment="1">
      <alignment horizontal="center"/>
    </xf>
    <xf numFmtId="193" fontId="7" fillId="0" borderId="5" xfId="0" applyNumberFormat="1" applyFont="1" applyBorder="1" applyAlignment="1">
      <alignment horizontal="center"/>
    </xf>
    <xf numFmtId="0" fontId="7" fillId="0" borderId="0" xfId="0" applyFont="1" applyBorder="1" applyAlignment="1">
      <alignment horizontal="center"/>
    </xf>
    <xf numFmtId="188" fontId="7" fillId="0" borderId="0" xfId="0" applyNumberFormat="1" applyFont="1" applyBorder="1" applyAlignment="1">
      <alignment horizontal="center"/>
    </xf>
    <xf numFmtId="184" fontId="7" fillId="0" borderId="0" xfId="0" applyNumberFormat="1" applyFont="1" applyBorder="1" applyAlignment="1">
      <alignment horizontal="center"/>
    </xf>
    <xf numFmtId="0" fontId="3" fillId="0" borderId="0" xfId="0" applyFont="1" applyBorder="1" applyAlignment="1">
      <alignment horizontal="center"/>
    </xf>
    <xf numFmtId="187" fontId="8" fillId="2" borderId="1" xfId="0" applyNumberFormat="1" applyFont="1" applyFill="1" applyBorder="1" applyAlignment="1">
      <alignment horizontal="center"/>
    </xf>
    <xf numFmtId="0" fontId="4" fillId="0" borderId="0" xfId="0" applyFont="1" applyFill="1" applyBorder="1" applyAlignment="1">
      <alignment horizontal="center"/>
    </xf>
    <xf numFmtId="188" fontId="7" fillId="0" borderId="0" xfId="0" applyNumberFormat="1" applyFont="1" applyFill="1" applyBorder="1" applyAlignment="1">
      <alignment horizontal="center"/>
    </xf>
    <xf numFmtId="195" fontId="7" fillId="0" borderId="0" xfId="0" applyNumberFormat="1" applyFont="1" applyFill="1" applyBorder="1" applyAlignment="1">
      <alignment horizontal="center"/>
    </xf>
    <xf numFmtId="184" fontId="3" fillId="0" borderId="8" xfId="0" applyNumberFormat="1" applyFont="1" applyBorder="1" applyAlignment="1">
      <alignment horizontal="center" vertical="center"/>
    </xf>
    <xf numFmtId="184" fontId="3" fillId="0" borderId="9" xfId="0" applyNumberFormat="1" applyFont="1" applyBorder="1" applyAlignment="1">
      <alignment horizontal="center" vertical="center"/>
    </xf>
    <xf numFmtId="184" fontId="3" fillId="0" borderId="10" xfId="0" applyNumberFormat="1" applyFont="1" applyBorder="1" applyAlignment="1">
      <alignment horizontal="center" vertical="center"/>
    </xf>
    <xf numFmtId="188" fontId="8" fillId="0" borderId="0" xfId="0" applyNumberFormat="1" applyFont="1" applyBorder="1" applyAlignment="1">
      <alignment horizontal="center"/>
    </xf>
    <xf numFmtId="184" fontId="7" fillId="0" borderId="5" xfId="0" applyNumberFormat="1" applyFont="1" applyBorder="1" applyAlignment="1">
      <alignment horizontal="center"/>
    </xf>
    <xf numFmtId="184" fontId="7" fillId="0" borderId="7" xfId="0" applyNumberFormat="1" applyFont="1" applyBorder="1" applyAlignment="1">
      <alignment horizontal="center"/>
    </xf>
    <xf numFmtId="184" fontId="7" fillId="0" borderId="6" xfId="0" applyNumberFormat="1" applyFont="1" applyBorder="1" applyAlignment="1">
      <alignment horizontal="center"/>
    </xf>
    <xf numFmtId="184" fontId="7" fillId="0" borderId="11" xfId="0" applyNumberFormat="1" applyFont="1" applyBorder="1" applyAlignment="1">
      <alignment horizontal="center"/>
    </xf>
    <xf numFmtId="197" fontId="3" fillId="0" borderId="0" xfId="0" applyNumberFormat="1" applyFont="1"/>
    <xf numFmtId="188" fontId="7" fillId="0" borderId="0" xfId="0" applyNumberFormat="1" applyFont="1" applyAlignment="1">
      <alignment horizontal="center"/>
    </xf>
    <xf numFmtId="0" fontId="19" fillId="0" borderId="0" xfId="0" applyFont="1"/>
    <xf numFmtId="188" fontId="8" fillId="2" borderId="1" xfId="0" applyNumberFormat="1" applyFont="1" applyFill="1" applyBorder="1" applyAlignment="1"/>
    <xf numFmtId="193" fontId="7" fillId="0" borderId="0" xfId="0" applyNumberFormat="1" applyFont="1" applyBorder="1" applyAlignment="1">
      <alignment horizontal="center"/>
    </xf>
    <xf numFmtId="188" fontId="8" fillId="0" borderId="0" xfId="0" applyNumberFormat="1" applyFont="1" applyFill="1" applyBorder="1" applyAlignment="1">
      <alignment horizontal="center"/>
    </xf>
    <xf numFmtId="184" fontId="8" fillId="0" borderId="0" xfId="0" applyNumberFormat="1" applyFont="1" applyBorder="1" applyAlignment="1">
      <alignment horizontal="right"/>
    </xf>
    <xf numFmtId="184" fontId="8" fillId="0" borderId="3" xfId="0" applyNumberFormat="1" applyFont="1" applyBorder="1" applyAlignment="1">
      <alignment horizontal="right"/>
    </xf>
    <xf numFmtId="184" fontId="8" fillId="0" borderId="12" xfId="0" applyNumberFormat="1" applyFont="1" applyBorder="1" applyAlignment="1">
      <alignment horizontal="right"/>
    </xf>
    <xf numFmtId="184" fontId="8" fillId="2" borderId="1" xfId="0" applyNumberFormat="1" applyFont="1" applyFill="1" applyBorder="1" applyAlignment="1">
      <alignment horizontal="right"/>
    </xf>
    <xf numFmtId="184" fontId="8" fillId="0" borderId="12" xfId="0" applyNumberFormat="1" applyFont="1" applyFill="1" applyBorder="1" applyAlignment="1">
      <alignment horizontal="right"/>
    </xf>
    <xf numFmtId="184" fontId="8" fillId="0" borderId="0" xfId="0" applyNumberFormat="1" applyFont="1" applyFill="1" applyBorder="1" applyAlignment="1">
      <alignment horizontal="right"/>
    </xf>
    <xf numFmtId="188" fontId="7" fillId="0" borderId="12" xfId="0" applyNumberFormat="1" applyFont="1" applyBorder="1" applyAlignment="1">
      <alignment horizontal="center"/>
    </xf>
    <xf numFmtId="188" fontId="7" fillId="0" borderId="3" xfId="0" applyNumberFormat="1" applyFont="1" applyBorder="1" applyAlignment="1">
      <alignment horizontal="center"/>
    </xf>
    <xf numFmtId="187" fontId="3" fillId="0" borderId="0" xfId="0" applyNumberFormat="1" applyFont="1"/>
    <xf numFmtId="184" fontId="7" fillId="0" borderId="13" xfId="0" applyNumberFormat="1" applyFont="1" applyBorder="1" applyAlignment="1">
      <alignment horizontal="center"/>
    </xf>
    <xf numFmtId="184" fontId="7" fillId="0" borderId="3" xfId="0" applyNumberFormat="1" applyFont="1" applyBorder="1" applyAlignment="1">
      <alignment horizontal="center"/>
    </xf>
    <xf numFmtId="195" fontId="18" fillId="0" borderId="0" xfId="0" applyNumberFormat="1" applyFont="1" applyFill="1" applyBorder="1" applyAlignment="1">
      <alignment horizontal="center"/>
    </xf>
    <xf numFmtId="0" fontId="16" fillId="3" borderId="0" xfId="0" applyFont="1" applyFill="1"/>
    <xf numFmtId="0" fontId="21" fillId="3" borderId="0" xfId="0" applyFont="1" applyFill="1"/>
    <xf numFmtId="0" fontId="7" fillId="4" borderId="0" xfId="0" applyFont="1" applyFill="1"/>
    <xf numFmtId="0" fontId="7" fillId="4" borderId="0" xfId="0" applyFont="1" applyFill="1" applyAlignment="1">
      <alignment horizontal="center" vertical="center" wrapText="1"/>
    </xf>
    <xf numFmtId="0" fontId="22" fillId="3" borderId="0" xfId="0" applyFont="1" applyFill="1" applyAlignment="1">
      <alignment vertical="center"/>
    </xf>
    <xf numFmtId="203" fontId="3" fillId="0" borderId="0" xfId="0" applyNumberFormat="1" applyFont="1" applyFill="1" applyBorder="1" applyAlignment="1">
      <alignment horizontal="center"/>
    </xf>
    <xf numFmtId="0" fontId="24" fillId="3" borderId="0" xfId="0" applyFont="1" applyFill="1" applyBorder="1" applyAlignment="1">
      <alignment horizontal="left" vertical="center" indent="1"/>
    </xf>
    <xf numFmtId="0" fontId="22" fillId="3" borderId="0" xfId="0" applyFont="1" applyFill="1"/>
    <xf numFmtId="17" fontId="17" fillId="3" borderId="0" xfId="0" applyNumberFormat="1" applyFont="1" applyFill="1" applyBorder="1" applyAlignment="1">
      <alignment horizontal="center"/>
    </xf>
    <xf numFmtId="17" fontId="17" fillId="0" borderId="0" xfId="0" applyNumberFormat="1" applyFont="1" applyFill="1" applyBorder="1" applyAlignment="1">
      <alignment horizontal="center"/>
    </xf>
    <xf numFmtId="0" fontId="3" fillId="0" borderId="0" xfId="0" applyFont="1" applyFill="1" applyBorder="1"/>
    <xf numFmtId="205" fontId="26" fillId="0" borderId="0" xfId="0" applyNumberFormat="1" applyFont="1" applyFill="1" applyBorder="1"/>
    <xf numFmtId="206" fontId="26" fillId="0" borderId="0" xfId="0" applyNumberFormat="1" applyFont="1" applyFill="1" applyBorder="1"/>
    <xf numFmtId="0" fontId="4" fillId="0" borderId="2" xfId="0" applyFont="1" applyBorder="1" applyAlignment="1">
      <alignment horizontal="center"/>
    </xf>
    <xf numFmtId="14" fontId="8" fillId="2" borderId="1" xfId="0" applyNumberFormat="1" applyFont="1" applyFill="1" applyBorder="1" applyAlignment="1"/>
    <xf numFmtId="188" fontId="7" fillId="0" borderId="0" xfId="0" applyNumberFormat="1" applyFont="1" applyAlignment="1"/>
    <xf numFmtId="184" fontId="3" fillId="0" borderId="3" xfId="0" applyNumberFormat="1" applyFont="1" applyBorder="1" applyAlignment="1">
      <alignment horizontal="centerContinuous" vertical="center"/>
    </xf>
    <xf numFmtId="0" fontId="27" fillId="3" borderId="0" xfId="0" applyFont="1" applyFill="1"/>
    <xf numFmtId="0" fontId="27" fillId="0" borderId="0" xfId="0" applyFont="1"/>
    <xf numFmtId="193" fontId="27" fillId="0" borderId="0" xfId="0" applyNumberFormat="1" applyFont="1" applyAlignment="1">
      <alignment horizontal="center"/>
    </xf>
    <xf numFmtId="184" fontId="27" fillId="0" borderId="0" xfId="0" applyNumberFormat="1" applyFont="1" applyAlignment="1"/>
    <xf numFmtId="188" fontId="27" fillId="0" borderId="14" xfId="0" applyNumberFormat="1" applyFont="1" applyFill="1" applyBorder="1" applyAlignment="1">
      <alignment horizontal="center"/>
    </xf>
    <xf numFmtId="188" fontId="27" fillId="0" borderId="15" xfId="0" applyNumberFormat="1" applyFont="1" applyFill="1" applyBorder="1" applyAlignment="1">
      <alignment horizontal="center"/>
    </xf>
    <xf numFmtId="193" fontId="27" fillId="0" borderId="0" xfId="0" applyNumberFormat="1" applyFont="1" applyFill="1" applyAlignment="1">
      <alignment horizontal="center"/>
    </xf>
    <xf numFmtId="193" fontId="27" fillId="0" borderId="9" xfId="0" applyNumberFormat="1" applyFont="1" applyFill="1" applyBorder="1" applyAlignment="1">
      <alignment horizontal="center"/>
    </xf>
    <xf numFmtId="188" fontId="27" fillId="0" borderId="0" xfId="0" applyNumberFormat="1" applyFont="1" applyBorder="1" applyAlignment="1">
      <alignment horizontal="center"/>
    </xf>
    <xf numFmtId="184" fontId="27" fillId="0" borderId="0" xfId="0" applyNumberFormat="1" applyFont="1"/>
    <xf numFmtId="184" fontId="27" fillId="0" borderId="12" xfId="0" applyNumberFormat="1" applyFont="1" applyBorder="1" applyAlignment="1">
      <alignment horizontal="right"/>
    </xf>
    <xf numFmtId="184" fontId="27" fillId="0" borderId="0" xfId="0" applyNumberFormat="1" applyFont="1" applyAlignment="1">
      <alignment horizontal="right"/>
    </xf>
    <xf numFmtId="184" fontId="27" fillId="0" borderId="13" xfId="0" applyNumberFormat="1" applyFont="1" applyBorder="1" applyAlignment="1">
      <alignment horizontal="right"/>
    </xf>
    <xf numFmtId="184" fontId="27" fillId="0" borderId="0" xfId="0" applyNumberFormat="1" applyFont="1" applyFill="1" applyAlignment="1">
      <alignment horizontal="right"/>
    </xf>
    <xf numFmtId="184" fontId="27" fillId="0" borderId="3" xfId="0" applyNumberFormat="1" applyFont="1" applyFill="1" applyBorder="1" applyAlignment="1">
      <alignment horizontal="right"/>
    </xf>
    <xf numFmtId="184" fontId="27" fillId="0" borderId="12" xfId="0" applyNumberFormat="1" applyFont="1" applyFill="1" applyBorder="1" applyAlignment="1">
      <alignment horizontal="right"/>
    </xf>
    <xf numFmtId="184" fontId="27" fillId="0" borderId="13" xfId="0" applyNumberFormat="1" applyFont="1" applyFill="1" applyBorder="1" applyAlignment="1">
      <alignment horizontal="right"/>
    </xf>
    <xf numFmtId="184" fontId="27" fillId="0" borderId="14" xfId="0" applyNumberFormat="1" applyFont="1" applyFill="1" applyBorder="1" applyAlignment="1">
      <alignment horizontal="right"/>
    </xf>
    <xf numFmtId="184" fontId="27" fillId="0" borderId="15" xfId="0" applyNumberFormat="1" applyFont="1" applyFill="1" applyBorder="1" applyAlignment="1">
      <alignment horizontal="right"/>
    </xf>
    <xf numFmtId="194" fontId="27" fillId="0" borderId="0" xfId="0" applyNumberFormat="1" applyFont="1" applyBorder="1" applyAlignment="1">
      <alignment horizontal="center"/>
    </xf>
    <xf numFmtId="197" fontId="27" fillId="0" borderId="0" xfId="0" applyNumberFormat="1" applyFont="1"/>
    <xf numFmtId="0" fontId="27" fillId="0" borderId="0" xfId="0" applyFont="1" applyBorder="1"/>
    <xf numFmtId="15" fontId="27" fillId="0" borderId="0" xfId="0" applyNumberFormat="1" applyFont="1" applyBorder="1"/>
    <xf numFmtId="187" fontId="27" fillId="0" borderId="0" xfId="0" applyNumberFormat="1" applyFont="1" applyAlignment="1"/>
    <xf numFmtId="0" fontId="27" fillId="0" borderId="0" xfId="0" applyFont="1" applyAlignment="1"/>
    <xf numFmtId="188" fontId="27" fillId="0" borderId="0" xfId="0" applyNumberFormat="1" applyFont="1" applyAlignment="1"/>
    <xf numFmtId="188" fontId="27" fillId="5" borderId="0" xfId="0" applyNumberFormat="1" applyFont="1" applyFill="1" applyAlignment="1"/>
    <xf numFmtId="0" fontId="27" fillId="0" borderId="0" xfId="0" applyFont="1" applyFill="1"/>
    <xf numFmtId="0" fontId="27" fillId="0" borderId="0" xfId="0" applyFont="1" applyFill="1" applyAlignment="1"/>
    <xf numFmtId="0" fontId="27" fillId="0" borderId="0" xfId="0" applyNumberFormat="1" applyFont="1"/>
    <xf numFmtId="0" fontId="27" fillId="0" borderId="0" xfId="0" applyNumberFormat="1" applyFont="1" applyAlignment="1"/>
    <xf numFmtId="9" fontId="27" fillId="0" borderId="0" xfId="0" applyNumberFormat="1" applyFont="1"/>
    <xf numFmtId="184" fontId="27" fillId="0" borderId="0" xfId="0" applyNumberFormat="1" applyFont="1" applyFill="1"/>
    <xf numFmtId="0" fontId="18" fillId="0" borderId="0" xfId="0" applyFont="1"/>
    <xf numFmtId="201" fontId="27" fillId="0" borderId="0" xfId="0" applyNumberFormat="1" applyFont="1" applyFill="1"/>
    <xf numFmtId="199" fontId="27" fillId="0" borderId="0" xfId="0" applyNumberFormat="1" applyFont="1" applyFill="1"/>
    <xf numFmtId="199" fontId="27" fillId="0" borderId="0" xfId="0" applyNumberFormat="1" applyFont="1"/>
    <xf numFmtId="187" fontId="27" fillId="0" borderId="0" xfId="0" applyNumberFormat="1" applyFont="1"/>
    <xf numFmtId="188" fontId="27" fillId="0" borderId="0" xfId="0" applyNumberFormat="1" applyFont="1"/>
    <xf numFmtId="196" fontId="27" fillId="0" borderId="0" xfId="0" applyNumberFormat="1" applyFont="1" applyBorder="1"/>
    <xf numFmtId="184" fontId="27" fillId="0" borderId="0" xfId="0" applyNumberFormat="1" applyFont="1" applyBorder="1"/>
    <xf numFmtId="186" fontId="27" fillId="0" borderId="0" xfId="0" applyNumberFormat="1" applyFont="1" applyAlignment="1"/>
    <xf numFmtId="188" fontId="27" fillId="0" borderId="0" xfId="0" applyNumberFormat="1" applyFont="1" applyFill="1"/>
    <xf numFmtId="187" fontId="27" fillId="0" borderId="0" xfId="0" applyNumberFormat="1" applyFont="1" applyFill="1" applyBorder="1"/>
    <xf numFmtId="184" fontId="27" fillId="0" borderId="0" xfId="0" applyNumberFormat="1" applyFont="1" applyFill="1" applyBorder="1"/>
    <xf numFmtId="192" fontId="27" fillId="0" borderId="0" xfId="0" applyNumberFormat="1" applyFont="1"/>
    <xf numFmtId="184" fontId="27" fillId="3" borderId="0" xfId="0" applyNumberFormat="1" applyFont="1" applyFill="1"/>
    <xf numFmtId="204" fontId="27" fillId="3" borderId="0" xfId="0" applyNumberFormat="1" applyFont="1" applyFill="1" applyBorder="1" applyAlignment="1">
      <alignment horizontal="center"/>
    </xf>
    <xf numFmtId="0" fontId="27" fillId="0" borderId="16" xfId="0" applyFont="1" applyBorder="1"/>
    <xf numFmtId="0" fontId="27" fillId="0" borderId="17" xfId="0" applyFont="1" applyBorder="1"/>
    <xf numFmtId="0" fontId="27" fillId="0" borderId="18" xfId="0" applyFont="1" applyBorder="1"/>
    <xf numFmtId="0" fontId="27" fillId="0" borderId="19" xfId="0" applyFont="1" applyBorder="1"/>
    <xf numFmtId="0" fontId="16" fillId="3" borderId="0" xfId="0" applyFont="1" applyFill="1" applyBorder="1"/>
    <xf numFmtId="203" fontId="16" fillId="3" borderId="0" xfId="0" applyNumberFormat="1" applyFont="1" applyFill="1" applyBorder="1" applyAlignment="1">
      <alignment horizontal="center"/>
    </xf>
    <xf numFmtId="0" fontId="21" fillId="0" borderId="0" xfId="0" applyFont="1" applyFill="1" applyBorder="1" applyAlignment="1">
      <alignment horizontal="left" indent="1"/>
    </xf>
    <xf numFmtId="0" fontId="16" fillId="0" borderId="0" xfId="0" applyFont="1" applyFill="1" applyBorder="1"/>
    <xf numFmtId="203" fontId="16" fillId="0" borderId="0" xfId="0" applyNumberFormat="1" applyFont="1" applyFill="1" applyBorder="1" applyAlignment="1">
      <alignment horizontal="center"/>
    </xf>
    <xf numFmtId="184" fontId="27" fillId="0" borderId="0" xfId="0" applyNumberFormat="1" applyFont="1" applyBorder="1" applyAlignment="1">
      <alignment horizontal="centerContinuous" vertical="center"/>
    </xf>
    <xf numFmtId="0" fontId="27" fillId="0" borderId="0" xfId="0" applyFont="1" applyBorder="1" applyAlignment="1">
      <alignment horizontal="centerContinuous" vertical="center"/>
    </xf>
    <xf numFmtId="0" fontId="27" fillId="0" borderId="12" xfId="0" applyFont="1" applyBorder="1" applyAlignment="1">
      <alignment horizontal="centerContinuous" vertical="center"/>
    </xf>
    <xf numFmtId="0" fontId="27" fillId="0" borderId="0" xfId="0" applyFont="1" applyAlignment="1">
      <alignment horizontal="center"/>
    </xf>
    <xf numFmtId="184" fontId="27" fillId="0" borderId="8" xfId="0" applyNumberFormat="1" applyFont="1" applyBorder="1" applyAlignment="1">
      <alignment horizontal="center"/>
    </xf>
    <xf numFmtId="184" fontId="27" fillId="0" borderId="9" xfId="0" applyNumberFormat="1" applyFont="1" applyBorder="1" applyAlignment="1">
      <alignment horizontal="center"/>
    </xf>
    <xf numFmtId="0" fontId="27" fillId="0" borderId="9" xfId="0" applyFont="1" applyBorder="1" applyAlignment="1">
      <alignment horizontal="center"/>
    </xf>
    <xf numFmtId="184" fontId="27" fillId="0" borderId="10" xfId="0" applyNumberFormat="1" applyFont="1" applyBorder="1" applyAlignment="1">
      <alignment horizontal="center"/>
    </xf>
    <xf numFmtId="188" fontId="27" fillId="0" borderId="3" xfId="0" applyNumberFormat="1" applyFont="1" applyFill="1" applyBorder="1" applyAlignment="1">
      <alignment horizontal="center"/>
    </xf>
    <xf numFmtId="184" fontId="27" fillId="0" borderId="12" xfId="0" applyNumberFormat="1" applyFont="1" applyBorder="1" applyAlignment="1">
      <alignment horizontal="centerContinuous" vertical="center"/>
    </xf>
    <xf numFmtId="184" fontId="27" fillId="0" borderId="3" xfId="0" applyNumberFormat="1" applyFont="1" applyBorder="1" applyAlignment="1">
      <alignment horizontal="centerContinuous" vertical="center"/>
    </xf>
    <xf numFmtId="184" fontId="27" fillId="0" borderId="8" xfId="0" applyNumberFormat="1" applyFont="1" applyFill="1" applyBorder="1" applyAlignment="1">
      <alignment horizontal="right"/>
    </xf>
    <xf numFmtId="195" fontId="27" fillId="0" borderId="0" xfId="0" applyNumberFormat="1" applyFont="1"/>
    <xf numFmtId="188" fontId="27" fillId="0" borderId="0" xfId="0" applyNumberFormat="1" applyFont="1" applyAlignment="1">
      <alignment horizontal="center"/>
    </xf>
    <xf numFmtId="187" fontId="27" fillId="0" borderId="0" xfId="1" applyNumberFormat="1" applyFont="1" applyFill="1"/>
    <xf numFmtId="187" fontId="27" fillId="0" borderId="0" xfId="0" applyNumberFormat="1" applyFont="1" applyFill="1" applyAlignment="1"/>
    <xf numFmtId="0" fontId="7" fillId="0" borderId="0" xfId="0" applyFont="1" applyFill="1" applyAlignment="1"/>
    <xf numFmtId="0" fontId="18" fillId="0" borderId="0" xfId="0" applyFont="1" applyFill="1"/>
    <xf numFmtId="184" fontId="27" fillId="0" borderId="0" xfId="0" applyNumberFormat="1" applyFont="1" applyFill="1" applyAlignment="1"/>
    <xf numFmtId="187" fontId="27" fillId="0" borderId="0" xfId="0" applyNumberFormat="1" applyFont="1" applyFill="1"/>
    <xf numFmtId="199" fontId="27" fillId="0" borderId="0" xfId="1" applyNumberFormat="1" applyFont="1" applyFill="1"/>
    <xf numFmtId="187" fontId="27" fillId="0" borderId="0" xfId="1" applyNumberFormat="1" applyFont="1"/>
    <xf numFmtId="191" fontId="27" fillId="0" borderId="0" xfId="0" applyNumberFormat="1" applyFont="1" applyFill="1"/>
    <xf numFmtId="0" fontId="7" fillId="3" borderId="0" xfId="0" applyFont="1" applyFill="1" applyAlignment="1">
      <alignment vertical="center"/>
    </xf>
    <xf numFmtId="203" fontId="27" fillId="0" borderId="0" xfId="0" applyNumberFormat="1" applyFont="1" applyFill="1" applyBorder="1" applyAlignment="1">
      <alignment horizontal="center"/>
    </xf>
    <xf numFmtId="0" fontId="27" fillId="0" borderId="2" xfId="0" applyFont="1" applyBorder="1"/>
    <xf numFmtId="0" fontId="27" fillId="0" borderId="19" xfId="0" applyFont="1" applyBorder="1" applyAlignment="1">
      <alignment horizontal="center"/>
    </xf>
    <xf numFmtId="0" fontId="27" fillId="0" borderId="0" xfId="0" applyFont="1" applyBorder="1" applyAlignment="1">
      <alignment horizontal="center"/>
    </xf>
    <xf numFmtId="0" fontId="27" fillId="0" borderId="20" xfId="0" applyFont="1" applyBorder="1"/>
    <xf numFmtId="0" fontId="27" fillId="0" borderId="21" xfId="0" applyFont="1" applyBorder="1"/>
    <xf numFmtId="0" fontId="27" fillId="0" borderId="22" xfId="0" applyFont="1" applyBorder="1"/>
    <xf numFmtId="0" fontId="27" fillId="0" borderId="0" xfId="0" applyFont="1" applyFill="1" applyBorder="1"/>
    <xf numFmtId="0" fontId="6" fillId="0" borderId="0" xfId="0" applyFont="1" applyFill="1"/>
    <xf numFmtId="0" fontId="24" fillId="3" borderId="0" xfId="0" applyFont="1" applyFill="1" applyAlignment="1">
      <alignment horizontal="left" indent="1"/>
    </xf>
    <xf numFmtId="0" fontId="6" fillId="0" borderId="0" xfId="0" applyFont="1" applyAlignment="1">
      <alignment vertical="center"/>
    </xf>
    <xf numFmtId="0" fontId="7" fillId="0" borderId="0" xfId="0" applyFont="1" applyAlignment="1">
      <alignment vertical="center"/>
    </xf>
    <xf numFmtId="0" fontId="6" fillId="6" borderId="0" xfId="0" applyFont="1" applyFill="1" applyAlignment="1">
      <alignment vertical="center"/>
    </xf>
    <xf numFmtId="0" fontId="6" fillId="0" borderId="0" xfId="0" applyFont="1" applyBorder="1" applyAlignment="1">
      <alignment vertical="center"/>
    </xf>
    <xf numFmtId="0" fontId="28" fillId="4" borderId="0" xfId="0" applyFont="1" applyFill="1" applyAlignment="1">
      <alignment horizontal="center" vertical="center"/>
    </xf>
    <xf numFmtId="0" fontId="28" fillId="4" borderId="0" xfId="0" applyFont="1" applyFill="1" applyAlignment="1"/>
    <xf numFmtId="0" fontId="6" fillId="0" borderId="0" xfId="0" applyFont="1"/>
    <xf numFmtId="0" fontId="6" fillId="0" borderId="0" xfId="0" applyFont="1" applyFill="1" applyAlignment="1">
      <alignment horizontal="center"/>
    </xf>
    <xf numFmtId="0" fontId="3" fillId="0" borderId="0" xfId="0" applyFont="1" applyFill="1" applyAlignment="1">
      <alignment horizontal="left"/>
    </xf>
    <xf numFmtId="0" fontId="6" fillId="0" borderId="0" xfId="0" applyFont="1" applyAlignment="1">
      <alignment horizontal="center" vertical="center"/>
    </xf>
    <xf numFmtId="0" fontId="3" fillId="0" borderId="0" xfId="0" applyFont="1" applyAlignment="1">
      <alignment vertical="center"/>
    </xf>
    <xf numFmtId="0" fontId="3" fillId="0" borderId="0" xfId="0" applyFont="1" applyFill="1" applyAlignment="1">
      <alignment horizontal="left" vertical="center"/>
    </xf>
    <xf numFmtId="0" fontId="30" fillId="0" borderId="0" xfId="0" applyFont="1" applyFill="1" applyBorder="1" applyAlignment="1">
      <alignment horizontal="left"/>
    </xf>
    <xf numFmtId="0" fontId="31" fillId="0" borderId="0" xfId="0" applyFont="1" applyAlignment="1">
      <alignment vertical="center"/>
    </xf>
    <xf numFmtId="0" fontId="31" fillId="0" borderId="0" xfId="0" applyFont="1" applyFill="1" applyAlignment="1">
      <alignment horizontal="left"/>
    </xf>
    <xf numFmtId="49" fontId="6" fillId="0" borderId="23" xfId="0" applyNumberFormat="1" applyFont="1" applyFill="1" applyBorder="1" applyAlignment="1">
      <alignment horizontal="left"/>
    </xf>
    <xf numFmtId="0" fontId="3" fillId="0" borderId="24" xfId="0" applyFont="1" applyFill="1" applyBorder="1" applyAlignment="1">
      <alignment horizontal="left"/>
    </xf>
    <xf numFmtId="14" fontId="6" fillId="0" borderId="24" xfId="0" applyNumberFormat="1" applyFont="1" applyFill="1" applyBorder="1" applyAlignment="1">
      <alignment horizontal="left"/>
    </xf>
    <xf numFmtId="207" fontId="8" fillId="0" borderId="0" xfId="0" applyNumberFormat="1" applyFont="1" applyAlignment="1">
      <alignment horizontal="right"/>
    </xf>
    <xf numFmtId="193" fontId="27" fillId="0" borderId="25" xfId="0" applyNumberFormat="1" applyFont="1" applyFill="1" applyBorder="1" applyAlignment="1">
      <alignment horizontal="center"/>
    </xf>
    <xf numFmtId="199" fontId="33" fillId="0" borderId="0" xfId="0" applyNumberFormat="1" applyFont="1" applyFill="1"/>
    <xf numFmtId="0" fontId="33" fillId="0" borderId="0" xfId="0" applyFont="1" applyFill="1" applyAlignment="1"/>
    <xf numFmtId="184" fontId="0" fillId="0" borderId="0" xfId="0" applyNumberFormat="1" applyFont="1" applyAlignment="1"/>
    <xf numFmtId="0" fontId="0" fillId="0" borderId="0" xfId="0" applyFont="1" applyBorder="1"/>
    <xf numFmtId="197" fontId="0" fillId="0" borderId="0" xfId="0" applyNumberFormat="1" applyFont="1"/>
    <xf numFmtId="0" fontId="34" fillId="0" borderId="0" xfId="0" applyFont="1" applyFill="1" applyAlignment="1"/>
    <xf numFmtId="184" fontId="0" fillId="0" borderId="0" xfId="0" applyNumberFormat="1" applyFont="1" applyFill="1"/>
    <xf numFmtId="184" fontId="35" fillId="0" borderId="0" xfId="0" applyNumberFormat="1" applyFont="1"/>
    <xf numFmtId="0" fontId="36" fillId="0" borderId="0" xfId="0" applyFont="1" applyAlignment="1"/>
    <xf numFmtId="0" fontId="36" fillId="0" borderId="0" xfId="0" applyFont="1" applyFill="1"/>
    <xf numFmtId="0" fontId="41" fillId="0" borderId="0" xfId="0" applyFont="1" applyBorder="1"/>
    <xf numFmtId="0" fontId="41" fillId="0" borderId="0" xfId="0" applyFont="1"/>
    <xf numFmtId="0" fontId="42" fillId="0" borderId="0" xfId="0" applyFont="1" applyBorder="1"/>
    <xf numFmtId="0" fontId="39" fillId="0" borderId="0" xfId="0" applyFont="1"/>
    <xf numFmtId="0" fontId="40" fillId="0" borderId="0" xfId="0" applyFont="1" applyAlignment="1"/>
    <xf numFmtId="184" fontId="0" fillId="0" borderId="0" xfId="0" applyNumberFormat="1" applyFont="1"/>
    <xf numFmtId="0" fontId="0" fillId="0" borderId="0" xfId="0" applyFont="1" applyAlignment="1"/>
    <xf numFmtId="0" fontId="0" fillId="0" borderId="0" xfId="0" applyFont="1"/>
    <xf numFmtId="0" fontId="38" fillId="0" borderId="0" xfId="0" applyFont="1"/>
    <xf numFmtId="187" fontId="17" fillId="2" borderId="1" xfId="0" applyNumberFormat="1" applyFont="1" applyFill="1" applyBorder="1" applyAlignment="1"/>
    <xf numFmtId="187" fontId="7" fillId="0" borderId="0" xfId="0" applyNumberFormat="1" applyFont="1" applyAlignment="1"/>
    <xf numFmtId="187" fontId="17" fillId="2" borderId="1" xfId="0" applyNumberFormat="1" applyFont="1" applyFill="1" applyBorder="1"/>
    <xf numFmtId="184" fontId="40" fillId="0" borderId="0" xfId="0" applyNumberFormat="1" applyFont="1"/>
    <xf numFmtId="0" fontId="39" fillId="0" borderId="26" xfId="0" applyFont="1" applyBorder="1" applyAlignment="1">
      <alignment horizontal="center"/>
    </xf>
    <xf numFmtId="200" fontId="8" fillId="2" borderId="1" xfId="0" applyNumberFormat="1" applyFont="1" applyFill="1" applyBorder="1"/>
    <xf numFmtId="200" fontId="8" fillId="0" borderId="0" xfId="0" applyNumberFormat="1" applyFont="1" applyFill="1"/>
    <xf numFmtId="200" fontId="27" fillId="0" borderId="0" xfId="0" applyNumberFormat="1" applyFont="1" applyFill="1"/>
    <xf numFmtId="0" fontId="32" fillId="3" borderId="0" xfId="0" applyFont="1" applyFill="1" applyAlignment="1">
      <alignment horizontal="center" vertical="center" wrapText="1"/>
    </xf>
    <xf numFmtId="0" fontId="29" fillId="3" borderId="0" xfId="0" applyFont="1" applyFill="1" applyAlignment="1">
      <alignment horizontal="center" vertical="center" wrapText="1"/>
    </xf>
    <xf numFmtId="184" fontId="7" fillId="0" borderId="27" xfId="0" applyNumberFormat="1" applyFont="1" applyBorder="1" applyAlignment="1">
      <alignment horizontal="center" vertical="center"/>
    </xf>
    <xf numFmtId="184" fontId="7" fillId="0" borderId="28" xfId="0" applyNumberFormat="1" applyFont="1" applyBorder="1" applyAlignment="1">
      <alignment horizontal="center" vertical="center"/>
    </xf>
    <xf numFmtId="184" fontId="7" fillId="0" borderId="29" xfId="0" applyNumberFormat="1" applyFont="1" applyBorder="1" applyAlignment="1">
      <alignment horizontal="center" vertical="center"/>
    </xf>
    <xf numFmtId="0" fontId="7" fillId="0" borderId="30" xfId="0" applyFont="1" applyBorder="1" applyAlignment="1">
      <alignment horizontal="center" vertical="center"/>
    </xf>
    <xf numFmtId="0" fontId="7" fillId="0" borderId="31" xfId="0" applyFont="1" applyBorder="1" applyAlignment="1">
      <alignment horizontal="center" vertical="center"/>
    </xf>
    <xf numFmtId="0" fontId="7" fillId="0" borderId="32" xfId="0" applyFont="1" applyBorder="1" applyAlignment="1">
      <alignment horizontal="center" vertical="center"/>
    </xf>
    <xf numFmtId="184" fontId="27" fillId="0" borderId="0" xfId="0" applyNumberFormat="1" applyFont="1" applyBorder="1" applyAlignment="1">
      <alignment horizontal="center" vertical="center"/>
    </xf>
    <xf numFmtId="184" fontId="27" fillId="0" borderId="9" xfId="0" applyNumberFormat="1" applyFont="1" applyBorder="1" applyAlignment="1">
      <alignment horizontal="center" vertical="center"/>
    </xf>
    <xf numFmtId="184" fontId="27" fillId="0" borderId="13" xfId="0" applyNumberFormat="1" applyFont="1" applyBorder="1" applyAlignment="1">
      <alignment horizontal="center" vertical="center"/>
    </xf>
    <xf numFmtId="184" fontId="27" fillId="0" borderId="35" xfId="0" applyNumberFormat="1" applyFont="1" applyBorder="1" applyAlignment="1">
      <alignment horizontal="center" vertical="center"/>
    </xf>
    <xf numFmtId="188" fontId="27" fillId="0" borderId="25" xfId="0" applyNumberFormat="1" applyFont="1" applyFill="1" applyBorder="1" applyAlignment="1">
      <alignment horizontal="center"/>
    </xf>
    <xf numFmtId="188" fontId="27" fillId="0" borderId="10" xfId="0" applyNumberFormat="1" applyFont="1" applyFill="1" applyBorder="1" applyAlignment="1">
      <alignment horizontal="center"/>
    </xf>
    <xf numFmtId="188" fontId="8" fillId="0" borderId="34" xfId="0" applyNumberFormat="1" applyFont="1" applyBorder="1" applyAlignment="1">
      <alignment horizontal="center"/>
    </xf>
    <xf numFmtId="188" fontId="8" fillId="0" borderId="7" xfId="0" applyNumberFormat="1" applyFont="1" applyBorder="1" applyAlignment="1">
      <alignment horizontal="center"/>
    </xf>
    <xf numFmtId="188" fontId="8" fillId="0" borderId="19" xfId="0" applyNumberFormat="1" applyFont="1" applyBorder="1" applyAlignment="1">
      <alignment horizontal="center"/>
    </xf>
    <xf numFmtId="188" fontId="8" fillId="0" borderId="12" xfId="0" applyNumberFormat="1" applyFont="1" applyBorder="1" applyAlignment="1">
      <alignment horizontal="center"/>
    </xf>
    <xf numFmtId="188" fontId="7" fillId="0" borderId="34" xfId="0" applyNumberFormat="1" applyFont="1" applyBorder="1" applyAlignment="1">
      <alignment horizontal="center"/>
    </xf>
    <xf numFmtId="188" fontId="7" fillId="0" borderId="7" xfId="0" applyNumberFormat="1" applyFont="1" applyBorder="1" applyAlignment="1">
      <alignment horizontal="center"/>
    </xf>
    <xf numFmtId="188" fontId="7" fillId="0" borderId="0" xfId="0" applyNumberFormat="1" applyFont="1" applyBorder="1" applyAlignment="1">
      <alignment horizontal="center"/>
    </xf>
    <xf numFmtId="184" fontId="27" fillId="0" borderId="0" xfId="0" applyNumberFormat="1" applyFont="1" applyAlignment="1">
      <alignment horizontal="center"/>
    </xf>
    <xf numFmtId="0" fontId="27" fillId="0" borderId="12" xfId="0" applyFont="1" applyBorder="1" applyAlignment="1">
      <alignment horizontal="center"/>
    </xf>
    <xf numFmtId="0" fontId="3" fillId="0" borderId="2" xfId="0" applyFont="1" applyBorder="1" applyAlignment="1">
      <alignment horizontal="center" vertical="center"/>
    </xf>
    <xf numFmtId="0" fontId="27" fillId="0" borderId="33" xfId="0" applyFont="1" applyBorder="1" applyAlignment="1">
      <alignment horizontal="center" vertical="center"/>
    </xf>
    <xf numFmtId="184" fontId="27" fillId="0" borderId="19" xfId="0" applyNumberFormat="1" applyFont="1" applyBorder="1" applyAlignment="1">
      <alignment horizontal="center" vertical="center"/>
    </xf>
    <xf numFmtId="0" fontId="27" fillId="0" borderId="12" xfId="0" applyFont="1" applyBorder="1" applyAlignment="1">
      <alignment horizontal="center" vertical="center"/>
    </xf>
    <xf numFmtId="184" fontId="27" fillId="0" borderId="25" xfId="0" applyNumberFormat="1" applyFont="1" applyBorder="1" applyAlignment="1">
      <alignment horizontal="center" vertical="center"/>
    </xf>
    <xf numFmtId="0" fontId="27" fillId="0" borderId="10" xfId="0" applyFont="1" applyBorder="1" applyAlignment="1">
      <alignment horizontal="center" vertical="center"/>
    </xf>
    <xf numFmtId="184" fontId="27" fillId="0" borderId="3" xfId="0" applyNumberFormat="1" applyFont="1" applyBorder="1" applyAlignment="1">
      <alignment horizontal="center" vertical="center" wrapText="1"/>
    </xf>
    <xf numFmtId="184" fontId="27" fillId="0" borderId="8" xfId="0" applyNumberFormat="1" applyFont="1" applyBorder="1" applyAlignment="1">
      <alignment horizontal="center" vertical="center"/>
    </xf>
    <xf numFmtId="184" fontId="27" fillId="0" borderId="12" xfId="0" applyNumberFormat="1" applyFont="1" applyBorder="1" applyAlignment="1">
      <alignment horizontal="center" vertical="center"/>
    </xf>
    <xf numFmtId="184" fontId="27" fillId="0" borderId="10" xfId="0" applyNumberFormat="1" applyFont="1" applyBorder="1" applyAlignment="1">
      <alignment horizontal="center" vertical="center"/>
    </xf>
    <xf numFmtId="188" fontId="27" fillId="0" borderId="9" xfId="0" applyNumberFormat="1" applyFont="1" applyFill="1" applyBorder="1" applyAlignment="1">
      <alignment horizontal="center"/>
    </xf>
    <xf numFmtId="0" fontId="27" fillId="0" borderId="0" xfId="0" applyFont="1" applyAlignment="1">
      <alignment horizontal="center" vertical="center"/>
    </xf>
    <xf numFmtId="0" fontId="27" fillId="0" borderId="9" xfId="0" applyFont="1" applyBorder="1" applyAlignment="1">
      <alignment horizontal="center" vertical="center"/>
    </xf>
  </cellXfs>
  <cellStyles count="2">
    <cellStyle name="百分比" xfId="1" builtinId="5"/>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zh-CN" altLang="en-US"/>
              <a:t>股价区间</a:t>
            </a:r>
          </a:p>
        </c:rich>
      </c:tx>
      <c:layout>
        <c:manualLayout>
          <c:xMode val="edge"/>
          <c:yMode val="edge"/>
          <c:x val="0.4483438933190676"/>
          <c:y val="6.3604424446944127E-2"/>
        </c:manualLayout>
      </c:layout>
      <c:overlay val="0"/>
      <c:spPr>
        <a:noFill/>
        <a:ln w="25400">
          <a:noFill/>
        </a:ln>
      </c:spPr>
    </c:title>
    <c:autoTitleDeleted val="0"/>
    <c:plotArea>
      <c:layout>
        <c:manualLayout>
          <c:layoutTarget val="inner"/>
          <c:xMode val="edge"/>
          <c:yMode val="edge"/>
          <c:x val="0.19403016497940795"/>
          <c:y val="0.23428669483828757"/>
          <c:w val="0.73134446799930675"/>
          <c:h val="0.59428820154102213"/>
        </c:manualLayout>
      </c:layout>
      <c:barChart>
        <c:barDir val="bar"/>
        <c:grouping val="stacked"/>
        <c:varyColors val="0"/>
        <c:ser>
          <c:idx val="0"/>
          <c:order val="0"/>
          <c:spPr>
            <a:noFill/>
            <a:ln w="25400">
              <a:noFill/>
            </a:ln>
          </c:spPr>
          <c:invertIfNegative val="0"/>
          <c:cat>
            <c:strRef>
              <c:f>Comps!$G$53:$G$57</c:f>
              <c:strCache>
                <c:ptCount val="5"/>
                <c:pt idx="0">
                  <c:v>EV/EBITDA</c:v>
                </c:pt>
                <c:pt idx="1">
                  <c:v>P/B </c:v>
                </c:pt>
                <c:pt idx="2">
                  <c:v>P/E </c:v>
                </c:pt>
                <c:pt idx="3">
                  <c:v>DCF</c:v>
                </c:pt>
                <c:pt idx="4">
                  <c:v>综合</c:v>
                </c:pt>
              </c:strCache>
            </c:strRef>
          </c:cat>
          <c:val>
            <c:numRef>
              <c:f>Comps!$H$53:$H$57</c:f>
              <c:numCache>
                <c:formatCode>0.00_ </c:formatCode>
                <c:ptCount val="5"/>
                <c:pt idx="0">
                  <c:v>7.993547786148353</c:v>
                </c:pt>
                <c:pt idx="1">
                  <c:v>12.157390536032235</c:v>
                </c:pt>
                <c:pt idx="2">
                  <c:v>10.417310934433946</c:v>
                </c:pt>
                <c:pt idx="3">
                  <c:v>11.451344927736537</c:v>
                </c:pt>
                <c:pt idx="4">
                  <c:v>10.820380673304024</c:v>
                </c:pt>
              </c:numCache>
            </c:numRef>
          </c:val>
          <c:extLst>
            <c:ext xmlns:c16="http://schemas.microsoft.com/office/drawing/2014/chart" uri="{C3380CC4-5D6E-409C-BE32-E72D297353CC}">
              <c16:uniqueId val="{00000000-AEE2-4024-9E19-51ED6F81E7C3}"/>
            </c:ext>
          </c:extLst>
        </c:ser>
        <c:ser>
          <c:idx val="1"/>
          <c:order val="1"/>
          <c:spPr>
            <a:solidFill>
              <a:srgbClr val="99CCFF"/>
            </a:solidFill>
            <a:ln w="25400">
              <a:noFill/>
            </a:ln>
          </c:spPr>
          <c:invertIfNegative val="0"/>
          <c:dPt>
            <c:idx val="4"/>
            <c:invertIfNegative val="0"/>
            <c:bubble3D val="0"/>
            <c:spPr>
              <a:solidFill>
                <a:srgbClr val="00FFFF"/>
              </a:solidFill>
              <a:ln w="25400">
                <a:noFill/>
              </a:ln>
            </c:spPr>
            <c:extLst>
              <c:ext xmlns:c16="http://schemas.microsoft.com/office/drawing/2014/chart" uri="{C3380CC4-5D6E-409C-BE32-E72D297353CC}">
                <c16:uniqueId val="{00000001-AEE2-4024-9E19-51ED6F81E7C3}"/>
              </c:ext>
            </c:extLst>
          </c:dPt>
          <c:cat>
            <c:strRef>
              <c:f>Comps!$G$53:$G$57</c:f>
              <c:strCache>
                <c:ptCount val="5"/>
                <c:pt idx="0">
                  <c:v>EV/EBITDA</c:v>
                </c:pt>
                <c:pt idx="1">
                  <c:v>P/B </c:v>
                </c:pt>
                <c:pt idx="2">
                  <c:v>P/E </c:v>
                </c:pt>
                <c:pt idx="3">
                  <c:v>DCF</c:v>
                </c:pt>
                <c:pt idx="4">
                  <c:v>综合</c:v>
                </c:pt>
              </c:strCache>
            </c:strRef>
          </c:cat>
          <c:val>
            <c:numRef>
              <c:f>Comps!$J$53:$J$57</c:f>
              <c:numCache>
                <c:formatCode>0.00_ </c:formatCode>
                <c:ptCount val="5"/>
                <c:pt idx="0">
                  <c:v>1.7763439524774132</c:v>
                </c:pt>
                <c:pt idx="1">
                  <c:v>2.7016423413404969</c:v>
                </c:pt>
                <c:pt idx="2">
                  <c:v>2.3149579854297659</c:v>
                </c:pt>
                <c:pt idx="3">
                  <c:v>1.9770489201946653</c:v>
                </c:pt>
                <c:pt idx="4">
                  <c:v>2.1206818399719456</c:v>
                </c:pt>
              </c:numCache>
            </c:numRef>
          </c:val>
          <c:extLst>
            <c:ext xmlns:c16="http://schemas.microsoft.com/office/drawing/2014/chart" uri="{C3380CC4-5D6E-409C-BE32-E72D297353CC}">
              <c16:uniqueId val="{00000002-AEE2-4024-9E19-51ED6F81E7C3}"/>
            </c:ext>
          </c:extLst>
        </c:ser>
        <c:dLbls>
          <c:showLegendKey val="0"/>
          <c:showVal val="0"/>
          <c:showCatName val="0"/>
          <c:showSerName val="0"/>
          <c:showPercent val="0"/>
          <c:showBubbleSize val="0"/>
        </c:dLbls>
        <c:gapWidth val="70"/>
        <c:overlap val="100"/>
        <c:axId val="476407704"/>
        <c:axId val="1"/>
      </c:barChart>
      <c:catAx>
        <c:axId val="476407704"/>
        <c:scaling>
          <c:orientation val="minMax"/>
        </c:scaling>
        <c:delete val="0"/>
        <c:axPos val="l"/>
        <c:title>
          <c:tx>
            <c:rich>
              <a:bodyPr rot="0" vert="horz"/>
              <a:lstStyle/>
              <a:p>
                <a:pPr algn="ctr">
                  <a:defRPr sz="1000" b="0" i="0" u="none" strike="noStrike" baseline="0">
                    <a:solidFill>
                      <a:srgbClr val="000000"/>
                    </a:solidFill>
                    <a:latin typeface="Arial"/>
                    <a:ea typeface="Arial"/>
                    <a:cs typeface="Arial"/>
                  </a:defRPr>
                </a:pPr>
                <a:r>
                  <a:rPr lang="zh-CN" altLang="en-US"/>
                  <a:t>估值方法</a:t>
                </a:r>
              </a:p>
            </c:rich>
          </c:tx>
          <c:layout>
            <c:manualLayout>
              <c:xMode val="edge"/>
              <c:yMode val="edge"/>
              <c:x val="7.4074148374765253E-2"/>
              <c:y val="0.14134308211473565"/>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zh-CN"/>
          </a:p>
        </c:txPr>
        <c:crossAx val="1"/>
        <c:crossesAt val="4"/>
        <c:auto val="1"/>
        <c:lblAlgn val="ctr"/>
        <c:lblOffset val="100"/>
        <c:tickLblSkip val="1"/>
        <c:tickMarkSkip val="1"/>
        <c:noMultiLvlLbl val="0"/>
      </c:catAx>
      <c:valAx>
        <c:axId val="1"/>
        <c:scaling>
          <c:orientation val="minMax"/>
          <c:max val="15"/>
          <c:min val="8"/>
        </c:scaling>
        <c:delete val="0"/>
        <c:axPos val="b"/>
        <c:title>
          <c:tx>
            <c:rich>
              <a:bodyPr/>
              <a:lstStyle/>
              <a:p>
                <a:pPr>
                  <a:defRPr sz="1000" b="0" i="0" u="none" strike="noStrike" baseline="0">
                    <a:solidFill>
                      <a:srgbClr val="000000"/>
                    </a:solidFill>
                    <a:latin typeface="Arial"/>
                    <a:ea typeface="Arial"/>
                    <a:cs typeface="Arial"/>
                  </a:defRPr>
                </a:pPr>
                <a:r>
                  <a:rPr lang="zh-CN" altLang="en-US"/>
                  <a:t>股价（元）</a:t>
                </a:r>
              </a:p>
            </c:rich>
          </c:tx>
          <c:layout>
            <c:manualLayout>
              <c:xMode val="edge"/>
              <c:yMode val="edge"/>
              <c:x val="0.83864297217624861"/>
              <c:y val="0.7428582677165354"/>
            </c:manualLayout>
          </c:layout>
          <c:overlay val="0"/>
          <c:spPr>
            <a:noFill/>
            <a:ln w="25400">
              <a:noFill/>
            </a:ln>
          </c:spPr>
        </c:title>
        <c:numFmt formatCode="#,##0_);\(#,##0\)" sourceLinked="0"/>
        <c:majorTickMark val="in"/>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zh-CN"/>
          </a:p>
        </c:txPr>
        <c:crossAx val="476407704"/>
        <c:crosses val="autoZero"/>
        <c:crossBetween val="between"/>
        <c:majorUnit val="1"/>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Arial"/>
          <a:ea typeface="Arial"/>
          <a:cs typeface="Arial"/>
        </a:defRPr>
      </a:pPr>
      <a:endParaRPr lang="zh-CN"/>
    </a:p>
  </c:txPr>
  <c:printSettings>
    <c:headerFooter alignWithMargins="0"/>
    <c:pageMargins b="1" l="0.75" r="0.75" t="1" header="0.5" footer="0.5"/>
    <c:pageSetup paperSize="9" orientation="landscape" verticalDpi="180"/>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0</xdr:colOff>
      <xdr:row>52</xdr:row>
      <xdr:rowOff>0</xdr:rowOff>
    </xdr:from>
    <xdr:to>
      <xdr:col>10</xdr:col>
      <xdr:colOff>247650</xdr:colOff>
      <xdr:row>66</xdr:row>
      <xdr:rowOff>0</xdr:rowOff>
    </xdr:to>
    <xdr:graphicFrame macro="">
      <xdr:nvGraphicFramePr>
        <xdr:cNvPr id="194623" name="Chart 1">
          <a:extLst>
            <a:ext uri="{FF2B5EF4-FFF2-40B4-BE49-F238E27FC236}">
              <a16:creationId xmlns:a16="http://schemas.microsoft.com/office/drawing/2014/main" id="{EBEADC03-B48D-4F44-9967-EC6DB09CE86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1.xml"/><Relationship Id="rId1" Type="http://schemas.openxmlformats.org/officeDocument/2006/relationships/printerSettings" Target="../printerSettings/printerSettings12.bin"/><Relationship Id="rId4"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O34"/>
  <sheetViews>
    <sheetView showGridLines="0" showRowColHeaders="0" tabSelected="1" zoomScaleNormal="100" workbookViewId="0"/>
  </sheetViews>
  <sheetFormatPr defaultColWidth="0" defaultRowHeight="12.75" customHeight="1" zeroHeight="1" x14ac:dyDescent="0.2"/>
  <cols>
    <col min="1" max="1" width="10.7109375" style="211" customWidth="1"/>
    <col min="2" max="2" width="0.85546875" style="211" customWidth="1"/>
    <col min="3" max="3" width="10.7109375" style="211" customWidth="1"/>
    <col min="4" max="12" width="11.7109375" style="211" customWidth="1"/>
    <col min="13" max="13" width="10.7109375" style="211" customWidth="1"/>
    <col min="14" max="14" width="0.85546875" style="211" customWidth="1"/>
    <col min="15" max="15" width="10.7109375" style="211" customWidth="1"/>
    <col min="16" max="16384" width="7.5703125" style="211" hidden="1"/>
  </cols>
  <sheetData>
    <row r="1" spans="1:15" x14ac:dyDescent="0.2">
      <c r="A1"/>
    </row>
    <row r="2" spans="1:15" x14ac:dyDescent="0.2">
      <c r="A2" s="212"/>
      <c r="B2" s="212"/>
      <c r="C2" s="212"/>
    </row>
    <row r="3" spans="1:15" x14ac:dyDescent="0.2"/>
    <row r="4" spans="1:15" ht="5.0999999999999996" customHeight="1" x14ac:dyDescent="0.2">
      <c r="B4" s="213"/>
      <c r="C4" s="213"/>
      <c r="D4" s="213"/>
      <c r="E4" s="213"/>
      <c r="F4" s="213"/>
      <c r="G4" s="213"/>
      <c r="H4" s="213"/>
      <c r="I4" s="213"/>
      <c r="J4" s="213"/>
      <c r="K4" s="213"/>
      <c r="L4" s="213"/>
      <c r="M4" s="213"/>
      <c r="N4" s="213"/>
    </row>
    <row r="5" spans="1:15" x14ac:dyDescent="0.2">
      <c r="B5" s="213"/>
      <c r="N5" s="213"/>
    </row>
    <row r="6" spans="1:15" ht="12.75" customHeight="1" x14ac:dyDescent="0.2">
      <c r="B6" s="213"/>
      <c r="N6" s="213"/>
    </row>
    <row r="7" spans="1:15" ht="12.75" customHeight="1" x14ac:dyDescent="0.2">
      <c r="B7" s="213"/>
      <c r="D7" s="214"/>
      <c r="N7" s="213"/>
    </row>
    <row r="8" spans="1:15" ht="12.75" customHeight="1" x14ac:dyDescent="0.2">
      <c r="B8" s="213"/>
      <c r="N8" s="213"/>
    </row>
    <row r="9" spans="1:15" ht="9" customHeight="1" x14ac:dyDescent="0.2">
      <c r="B9" s="213"/>
      <c r="D9" s="103"/>
      <c r="E9" s="103"/>
      <c r="F9" s="103"/>
      <c r="G9" s="103"/>
      <c r="H9" s="103"/>
      <c r="I9" s="103"/>
      <c r="J9" s="103"/>
      <c r="K9" s="103"/>
      <c r="L9" s="103"/>
      <c r="N9" s="213"/>
    </row>
    <row r="10" spans="1:15" ht="24" customHeight="1" x14ac:dyDescent="0.2">
      <c r="B10" s="213"/>
      <c r="D10" s="103"/>
      <c r="E10" s="258" t="s">
        <v>270</v>
      </c>
      <c r="F10" s="258"/>
      <c r="G10" s="258"/>
      <c r="H10" s="258"/>
      <c r="I10" s="258"/>
      <c r="J10" s="258"/>
      <c r="K10" s="258"/>
      <c r="L10" s="103"/>
      <c r="N10" s="213"/>
    </row>
    <row r="11" spans="1:15" ht="24" customHeight="1" x14ac:dyDescent="0.2">
      <c r="B11" s="213"/>
      <c r="D11" s="104"/>
      <c r="E11" s="258"/>
      <c r="F11" s="258"/>
      <c r="G11" s="258"/>
      <c r="H11" s="258"/>
      <c r="I11" s="258"/>
      <c r="J11" s="258"/>
      <c r="K11" s="258"/>
      <c r="L11" s="104"/>
      <c r="N11" s="213"/>
    </row>
    <row r="12" spans="1:15" ht="0.95" customHeight="1" x14ac:dyDescent="0.25">
      <c r="A12" s="105"/>
      <c r="B12" s="213"/>
      <c r="C12" s="105"/>
      <c r="D12" s="105"/>
      <c r="E12" s="106"/>
      <c r="F12" s="106"/>
      <c r="G12" s="215"/>
      <c r="H12" s="215"/>
      <c r="I12" s="215"/>
      <c r="J12" s="216"/>
      <c r="K12" s="105"/>
      <c r="L12" s="105"/>
      <c r="M12" s="105"/>
      <c r="N12" s="213"/>
      <c r="O12" s="105"/>
    </row>
    <row r="13" spans="1:15" ht="24" customHeight="1" x14ac:dyDescent="0.2">
      <c r="B13" s="213"/>
      <c r="D13" s="104"/>
      <c r="E13" s="259" t="s">
        <v>267</v>
      </c>
      <c r="F13" s="259"/>
      <c r="G13" s="259"/>
      <c r="H13" s="259"/>
      <c r="I13" s="259"/>
      <c r="J13" s="259"/>
      <c r="K13" s="259"/>
      <c r="L13" s="104"/>
      <c r="N13" s="213"/>
    </row>
    <row r="14" spans="1:15" ht="24" customHeight="1" x14ac:dyDescent="0.2">
      <c r="B14" s="213"/>
      <c r="D14" s="104"/>
      <c r="E14" s="259"/>
      <c r="F14" s="259"/>
      <c r="G14" s="259"/>
      <c r="H14" s="259"/>
      <c r="I14" s="259"/>
      <c r="J14" s="259"/>
      <c r="K14" s="259"/>
      <c r="L14" s="104"/>
      <c r="N14" s="213"/>
    </row>
    <row r="15" spans="1:15" x14ac:dyDescent="0.2">
      <c r="B15" s="213"/>
      <c r="N15" s="213"/>
    </row>
    <row r="16" spans="1:15" x14ac:dyDescent="0.2">
      <c r="B16" s="213"/>
      <c r="M16" s="209"/>
      <c r="N16" s="213"/>
    </row>
    <row r="17" spans="2:14" x14ac:dyDescent="0.2">
      <c r="B17" s="213"/>
      <c r="M17" s="209"/>
      <c r="N17" s="213"/>
    </row>
    <row r="18" spans="2:14" x14ac:dyDescent="0.2">
      <c r="B18" s="213"/>
      <c r="M18" s="209"/>
      <c r="N18" s="213"/>
    </row>
    <row r="19" spans="2:14" ht="14.25" x14ac:dyDescent="0.2">
      <c r="B19" s="213"/>
      <c r="D19" s="224" t="s">
        <v>268</v>
      </c>
      <c r="I19" s="225" t="s">
        <v>269</v>
      </c>
      <c r="J19" s="209"/>
      <c r="K19" s="209"/>
      <c r="M19" s="209"/>
      <c r="N19" s="213"/>
    </row>
    <row r="20" spans="2:14" x14ac:dyDescent="0.2">
      <c r="B20" s="213"/>
      <c r="I20" s="217"/>
      <c r="J20" s="209"/>
      <c r="K20" s="209"/>
      <c r="N20" s="213"/>
    </row>
    <row r="21" spans="2:14" x14ac:dyDescent="0.2">
      <c r="B21" s="213"/>
      <c r="D21" s="13" t="s">
        <v>253</v>
      </c>
      <c r="F21" s="226" t="s">
        <v>254</v>
      </c>
      <c r="H21" s="217"/>
      <c r="I21" s="255">
        <v>11.4</v>
      </c>
      <c r="J21" s="218" t="s">
        <v>10</v>
      </c>
      <c r="K21" s="10" t="s">
        <v>255</v>
      </c>
      <c r="N21" s="213"/>
    </row>
    <row r="22" spans="2:14" x14ac:dyDescent="0.2">
      <c r="B22" s="213"/>
      <c r="D22" s="13" t="s">
        <v>256</v>
      </c>
      <c r="F22" s="227" t="s">
        <v>257</v>
      </c>
      <c r="H22" s="217"/>
      <c r="I22" s="256">
        <v>11.4</v>
      </c>
      <c r="J22" s="218" t="s">
        <v>10</v>
      </c>
      <c r="K22" s="10" t="s">
        <v>258</v>
      </c>
      <c r="N22" s="213"/>
    </row>
    <row r="23" spans="2:14" x14ac:dyDescent="0.2">
      <c r="B23" s="213"/>
      <c r="D23" s="13" t="s">
        <v>259</v>
      </c>
      <c r="F23" s="227" t="s">
        <v>260</v>
      </c>
      <c r="H23" s="217"/>
      <c r="I23" s="257">
        <v>11.4</v>
      </c>
      <c r="J23" s="218" t="s">
        <v>10</v>
      </c>
      <c r="K23" s="10" t="s">
        <v>261</v>
      </c>
      <c r="N23" s="213"/>
    </row>
    <row r="24" spans="2:14" x14ac:dyDescent="0.2">
      <c r="B24" s="213"/>
      <c r="D24" s="219" t="s">
        <v>262</v>
      </c>
      <c r="E24" s="209"/>
      <c r="F24" s="227"/>
      <c r="H24" s="217"/>
      <c r="I24" s="208"/>
      <c r="J24" s="220" t="s">
        <v>263</v>
      </c>
      <c r="K24" s="221" t="s">
        <v>264</v>
      </c>
      <c r="L24" s="10"/>
      <c r="N24" s="213"/>
    </row>
    <row r="25" spans="2:14" x14ac:dyDescent="0.2">
      <c r="B25" s="213"/>
      <c r="D25" s="219" t="s">
        <v>265</v>
      </c>
      <c r="E25" s="20"/>
      <c r="F25" s="227"/>
      <c r="L25" s="10"/>
      <c r="N25" s="213"/>
    </row>
    <row r="26" spans="2:14" ht="12.75" customHeight="1" x14ac:dyDescent="0.3">
      <c r="B26" s="213"/>
      <c r="D26" s="222" t="s">
        <v>266</v>
      </c>
      <c r="E26" s="20"/>
      <c r="F26" s="228"/>
      <c r="H26" s="217"/>
      <c r="I26" s="223"/>
      <c r="J26" s="209"/>
      <c r="K26" s="209"/>
      <c r="L26" s="221"/>
      <c r="N26" s="213"/>
    </row>
    <row r="27" spans="2:14" x14ac:dyDescent="0.2">
      <c r="B27" s="213"/>
      <c r="N27" s="213"/>
    </row>
    <row r="28" spans="2:14" x14ac:dyDescent="0.2">
      <c r="B28" s="213"/>
      <c r="N28" s="213"/>
    </row>
    <row r="29" spans="2:14" ht="5.0999999999999996" customHeight="1" x14ac:dyDescent="0.2">
      <c r="B29" s="213"/>
      <c r="C29" s="213"/>
      <c r="D29" s="213"/>
      <c r="E29" s="213"/>
      <c r="F29" s="213"/>
      <c r="G29" s="213"/>
      <c r="H29" s="213"/>
      <c r="I29" s="213"/>
      <c r="J29" s="213"/>
      <c r="K29" s="213"/>
      <c r="L29" s="213"/>
      <c r="M29" s="213"/>
      <c r="N29" s="213"/>
    </row>
    <row r="30" spans="2:14" x14ac:dyDescent="0.2"/>
    <row r="31" spans="2:14" x14ac:dyDescent="0.2"/>
    <row r="32" spans="2:14" x14ac:dyDescent="0.2"/>
    <row r="33" x14ac:dyDescent="0.2"/>
    <row r="34" hidden="1" x14ac:dyDescent="0.2"/>
  </sheetData>
  <mergeCells count="2">
    <mergeCell ref="E10:K11"/>
    <mergeCell ref="E13:K14"/>
  </mergeCells>
  <phoneticPr fontId="2" type="noConversion"/>
  <printOptions horizontalCentered="1" verticalCentered="1"/>
  <pageMargins left="0.74803149606299213" right="0.74803149606299213" top="0.98425196850393704" bottom="0.98425196850393704" header="0.51181102362204722" footer="0.51181102362204722"/>
  <pageSetup paperSize="9" scale="86" orientation="landscape" r:id="rId1"/>
  <headerFooter alignWithMargins="0">
    <oddHeader>&amp;L&amp;"宋体,常规"诚迅金融培训&amp;Rwww.chainshine.com</oddHeader>
    <oddFooter>第 &amp;P 页，共 &amp;N 页</oddFooter>
  </headerFooter>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25"/>
  <sheetViews>
    <sheetView showGridLines="0" showRowColHeaders="0" zoomScale="110" workbookViewId="0">
      <pane ySplit="3" topLeftCell="A4" activePane="bottomLeft" state="frozen"/>
      <selection activeCell="A6" sqref="A6"/>
      <selection pane="bottomLeft" activeCell="A4" sqref="A4"/>
    </sheetView>
  </sheetViews>
  <sheetFormatPr defaultColWidth="0" defaultRowHeight="15" customHeight="1" x14ac:dyDescent="0.2"/>
  <cols>
    <col min="1" max="1" width="1.7109375" style="121" customWidth="1"/>
    <col min="2" max="2" width="20.7109375" style="121" customWidth="1"/>
    <col min="3" max="3" width="1.7109375" style="121" customWidth="1"/>
    <col min="4" max="4" width="4.7109375" style="121" customWidth="1"/>
    <col min="5" max="5" width="6.7109375" style="121" customWidth="1"/>
    <col min="6" max="6" width="4.28515625" style="121" customWidth="1"/>
    <col min="7" max="7" width="1.7109375" style="121" customWidth="1"/>
    <col min="8" max="8" width="12.7109375" style="121" customWidth="1"/>
    <col min="9" max="9" width="9.7109375" style="121" customWidth="1"/>
    <col min="10" max="10" width="12.7109375" style="121" customWidth="1"/>
    <col min="11" max="11" width="9.7109375" style="121" customWidth="1"/>
    <col min="12" max="12" width="9.140625" style="121" customWidth="1"/>
    <col min="13" max="14" width="10.7109375" style="121" customWidth="1"/>
    <col min="15" max="18" width="9.42578125" style="121" customWidth="1"/>
    <col min="19" max="19" width="9.140625" style="121" customWidth="1"/>
    <col min="20" max="20" width="1.7109375" style="121" customWidth="1"/>
    <col min="21" max="16384" width="0" style="121" hidden="1"/>
  </cols>
  <sheetData>
    <row r="1" spans="1:19" ht="24" customHeight="1" x14ac:dyDescent="0.2">
      <c r="A1" s="107" t="s">
        <v>83</v>
      </c>
      <c r="B1" s="120"/>
      <c r="C1" s="120"/>
      <c r="D1" s="200"/>
      <c r="E1" s="120"/>
      <c r="F1" s="120"/>
      <c r="G1" s="120"/>
      <c r="H1" s="120"/>
      <c r="I1" s="120"/>
      <c r="J1" s="120"/>
      <c r="K1" s="120"/>
      <c r="L1" s="120"/>
      <c r="M1" s="120"/>
      <c r="N1" s="120"/>
      <c r="O1" s="120"/>
      <c r="P1" s="120"/>
      <c r="Q1" s="120"/>
      <c r="R1" s="120"/>
      <c r="S1" s="120"/>
    </row>
    <row r="2" spans="1:19" s="147" customFormat="1" ht="2.1" customHeight="1" x14ac:dyDescent="0.2">
      <c r="B2" s="152"/>
      <c r="C2" s="152"/>
      <c r="E2" s="201"/>
      <c r="F2" s="201"/>
      <c r="G2" s="201"/>
      <c r="H2" s="201"/>
      <c r="I2" s="201"/>
      <c r="J2" s="201"/>
      <c r="K2" s="201"/>
      <c r="L2" s="201"/>
      <c r="M2" s="201"/>
      <c r="N2" s="201"/>
      <c r="O2" s="201"/>
      <c r="P2" s="201"/>
      <c r="Q2" s="201"/>
      <c r="R2" s="201"/>
      <c r="S2" s="201"/>
    </row>
    <row r="3" spans="1:19" ht="18" customHeight="1" x14ac:dyDescent="0.2">
      <c r="A3" s="109" t="s">
        <v>73</v>
      </c>
      <c r="B3" s="166"/>
      <c r="C3" s="166"/>
      <c r="D3" s="166"/>
      <c r="E3" s="167"/>
      <c r="F3" s="167"/>
      <c r="G3" s="167"/>
      <c r="H3" s="167"/>
      <c r="I3" s="167"/>
      <c r="J3" s="167"/>
      <c r="K3" s="167"/>
      <c r="L3" s="167"/>
      <c r="M3" s="167"/>
      <c r="N3" s="167"/>
      <c r="O3" s="167"/>
      <c r="P3" s="167"/>
      <c r="Q3" s="167"/>
      <c r="R3" s="167"/>
      <c r="S3" s="167"/>
    </row>
    <row r="7" spans="1:19" ht="15" customHeight="1" x14ac:dyDescent="0.2">
      <c r="E7" s="168"/>
      <c r="F7" s="169"/>
      <c r="G7" s="169"/>
      <c r="H7" s="169"/>
      <c r="I7" s="169"/>
      <c r="J7" s="169"/>
      <c r="K7" s="170"/>
    </row>
    <row r="8" spans="1:19" ht="15" customHeight="1" thickBot="1" x14ac:dyDescent="0.25">
      <c r="E8" s="171"/>
      <c r="F8" s="141"/>
      <c r="G8" s="141"/>
      <c r="H8" s="254" t="s">
        <v>234</v>
      </c>
      <c r="I8" s="29"/>
      <c r="J8" s="254" t="s">
        <v>235</v>
      </c>
      <c r="K8" s="202"/>
    </row>
    <row r="9" spans="1:19" ht="15" customHeight="1" thickTop="1" x14ac:dyDescent="0.2">
      <c r="E9" s="171"/>
      <c r="F9" s="141"/>
      <c r="G9" s="141"/>
      <c r="H9" s="141"/>
      <c r="I9" s="141"/>
      <c r="J9" s="141"/>
      <c r="K9" s="202"/>
    </row>
    <row r="10" spans="1:19" ht="15" customHeight="1" x14ac:dyDescent="0.2">
      <c r="E10" s="203"/>
      <c r="F10" s="69">
        <v>1</v>
      </c>
      <c r="G10" s="243" t="s">
        <v>20</v>
      </c>
      <c r="H10" s="241"/>
      <c r="I10" s="141"/>
      <c r="J10" s="141"/>
      <c r="K10" s="202"/>
    </row>
    <row r="11" spans="1:19" ht="15" customHeight="1" x14ac:dyDescent="0.2">
      <c r="E11" s="203"/>
      <c r="F11" s="204"/>
      <c r="G11" s="241"/>
      <c r="H11" s="241" t="s">
        <v>236</v>
      </c>
      <c r="I11" s="141"/>
      <c r="J11" s="141" t="s">
        <v>237</v>
      </c>
      <c r="K11" s="202"/>
    </row>
    <row r="12" spans="1:19" ht="15" customHeight="1" x14ac:dyDescent="0.2">
      <c r="E12" s="203"/>
      <c r="F12" s="204"/>
      <c r="G12" s="241"/>
      <c r="H12" s="241" t="s">
        <v>238</v>
      </c>
      <c r="I12" s="141"/>
      <c r="J12" s="141" t="s">
        <v>12</v>
      </c>
      <c r="K12" s="202"/>
    </row>
    <row r="13" spans="1:19" ht="15" customHeight="1" x14ac:dyDescent="0.2">
      <c r="E13" s="203"/>
      <c r="F13" s="204"/>
      <c r="G13" s="241"/>
      <c r="H13" s="241" t="s">
        <v>239</v>
      </c>
      <c r="I13" s="141"/>
      <c r="J13" s="141" t="s">
        <v>13</v>
      </c>
      <c r="K13" s="202"/>
    </row>
    <row r="14" spans="1:19" ht="15" customHeight="1" x14ac:dyDescent="0.2">
      <c r="E14" s="203"/>
      <c r="F14" s="204"/>
      <c r="G14" s="241"/>
      <c r="H14" s="241" t="s">
        <v>240</v>
      </c>
      <c r="I14" s="141"/>
      <c r="J14" s="141" t="s">
        <v>241</v>
      </c>
      <c r="K14" s="202"/>
    </row>
    <row r="15" spans="1:19" ht="15" customHeight="1" x14ac:dyDescent="0.2">
      <c r="E15" s="203"/>
      <c r="F15" s="204"/>
      <c r="G15" s="241"/>
      <c r="H15" s="241" t="s">
        <v>242</v>
      </c>
      <c r="I15" s="141"/>
      <c r="J15" s="141" t="s">
        <v>15</v>
      </c>
      <c r="K15" s="202"/>
    </row>
    <row r="16" spans="1:19" ht="15" customHeight="1" x14ac:dyDescent="0.2">
      <c r="E16" s="203"/>
      <c r="F16" s="204"/>
      <c r="G16" s="241"/>
      <c r="H16" s="241" t="s">
        <v>23</v>
      </c>
      <c r="I16" s="141"/>
      <c r="J16" s="141" t="s">
        <v>14</v>
      </c>
      <c r="K16" s="202"/>
    </row>
    <row r="17" spans="3:11" ht="15" customHeight="1" x14ac:dyDescent="0.2">
      <c r="E17" s="203"/>
      <c r="F17" s="204"/>
      <c r="G17" s="241"/>
      <c r="H17" s="241" t="s">
        <v>22</v>
      </c>
      <c r="I17" s="141"/>
      <c r="J17" s="141" t="s">
        <v>16</v>
      </c>
      <c r="K17" s="202"/>
    </row>
    <row r="18" spans="3:11" ht="15" customHeight="1" x14ac:dyDescent="0.2">
      <c r="E18" s="203"/>
      <c r="F18" s="204"/>
      <c r="G18" s="241"/>
      <c r="H18" s="241" t="s">
        <v>243</v>
      </c>
      <c r="I18" s="141"/>
      <c r="J18" s="141" t="s">
        <v>18</v>
      </c>
      <c r="K18" s="202"/>
    </row>
    <row r="19" spans="3:11" ht="15" customHeight="1" x14ac:dyDescent="0.2">
      <c r="E19" s="203"/>
      <c r="G19" s="242"/>
      <c r="H19" s="242"/>
      <c r="I19" s="141"/>
      <c r="J19" s="141"/>
      <c r="K19" s="202"/>
    </row>
    <row r="20" spans="3:11" ht="15" customHeight="1" x14ac:dyDescent="0.2">
      <c r="E20" s="203"/>
      <c r="F20" s="69">
        <v>2</v>
      </c>
      <c r="G20" s="243" t="s">
        <v>21</v>
      </c>
      <c r="H20" s="241"/>
      <c r="K20" s="202"/>
    </row>
    <row r="21" spans="3:11" ht="15" customHeight="1" x14ac:dyDescent="0.2">
      <c r="E21" s="203"/>
      <c r="F21" s="204"/>
      <c r="G21" s="241"/>
      <c r="H21" s="241" t="s">
        <v>244</v>
      </c>
      <c r="I21" s="141"/>
      <c r="J21" s="141" t="s">
        <v>17</v>
      </c>
      <c r="K21" s="202"/>
    </row>
    <row r="22" spans="3:11" ht="15" customHeight="1" x14ac:dyDescent="0.2">
      <c r="C22" s="141"/>
      <c r="D22" s="141"/>
      <c r="E22" s="171"/>
      <c r="F22" s="141"/>
      <c r="G22" s="241"/>
      <c r="H22" s="241" t="s">
        <v>11</v>
      </c>
      <c r="I22" s="141"/>
      <c r="J22" s="141" t="s">
        <v>19</v>
      </c>
      <c r="K22" s="202"/>
    </row>
    <row r="23" spans="3:11" ht="15" customHeight="1" x14ac:dyDescent="0.2">
      <c r="C23" s="141"/>
      <c r="D23" s="141"/>
      <c r="E23" s="205"/>
      <c r="F23" s="206"/>
      <c r="G23" s="206"/>
      <c r="H23" s="206"/>
      <c r="I23" s="206"/>
      <c r="J23" s="206"/>
      <c r="K23" s="207"/>
    </row>
    <row r="24" spans="3:11" ht="15" customHeight="1" x14ac:dyDescent="0.2">
      <c r="C24" s="141"/>
      <c r="D24" s="141"/>
      <c r="E24" s="141"/>
      <c r="F24" s="141"/>
      <c r="G24" s="141"/>
      <c r="H24" s="141"/>
      <c r="I24" s="141"/>
    </row>
    <row r="25" spans="3:11" ht="15" customHeight="1" x14ac:dyDescent="0.2">
      <c r="C25" s="141"/>
      <c r="D25" s="141"/>
      <c r="E25" s="141"/>
      <c r="F25" s="141"/>
      <c r="G25" s="141"/>
      <c r="H25" s="141"/>
      <c r="I25" s="141"/>
    </row>
  </sheetData>
  <phoneticPr fontId="2" type="noConversion"/>
  <printOptions horizontalCentered="1" verticalCentered="1"/>
  <pageMargins left="0.74803149606299213" right="0.74803149606299213" top="0.98425196850393704" bottom="0.98425196850393704" header="0.51181102362204722" footer="0.51181102362204722"/>
  <pageSetup paperSize="9" scale="80" orientation="landscape" blackAndWhite="1" verticalDpi="1200" r:id="rId1"/>
  <headerFooter alignWithMargins="0">
    <oddHeader>&amp;L&amp;"宋体,常规"诚迅金融培训&amp;Rwww.chainshine.com</oddHeader>
    <oddFooter>第 &amp;P 页，共 &amp;N 页</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Q89"/>
  <sheetViews>
    <sheetView workbookViewId="0">
      <pane xSplit="2" ySplit="5" topLeftCell="C6" activePane="bottomRight" state="frozen"/>
      <selection activeCell="A6" sqref="A6"/>
      <selection pane="topRight" activeCell="A6" sqref="A6"/>
      <selection pane="bottomLeft" activeCell="A6" sqref="A6"/>
      <selection pane="bottomRight" activeCell="C6" sqref="C6"/>
    </sheetView>
  </sheetViews>
  <sheetFormatPr defaultColWidth="0" defaultRowHeight="15" customHeight="1" x14ac:dyDescent="0.2"/>
  <cols>
    <col min="1" max="1" width="1.7109375" style="121" customWidth="1"/>
    <col min="2" max="2" width="27.7109375" style="121" customWidth="1"/>
    <col min="3" max="15" width="10.7109375" style="121" customWidth="1"/>
    <col min="16" max="16" width="1.7109375" style="121" customWidth="1"/>
    <col min="17" max="17" width="10.7109375" style="121" hidden="1"/>
    <col min="18" max="16384" width="0" style="121" hidden="1"/>
  </cols>
  <sheetData>
    <row r="1" spans="1:15" ht="24" customHeight="1" x14ac:dyDescent="0.3">
      <c r="A1" s="110" t="s">
        <v>77</v>
      </c>
      <c r="B1" s="120"/>
      <c r="C1" s="111"/>
      <c r="D1" s="111"/>
      <c r="E1" s="111"/>
      <c r="F1" s="111"/>
      <c r="G1" s="111"/>
      <c r="H1" s="111"/>
      <c r="I1" s="111"/>
      <c r="J1" s="111"/>
      <c r="K1" s="111"/>
      <c r="L1" s="111"/>
      <c r="M1" s="111"/>
      <c r="N1" s="111"/>
      <c r="O1" s="111"/>
    </row>
    <row r="2" spans="1:15" ht="2.1" customHeight="1" x14ac:dyDescent="0.2">
      <c r="A2" s="26"/>
      <c r="B2" s="147"/>
      <c r="C2" s="112"/>
      <c r="D2" s="112"/>
      <c r="E2" s="112"/>
      <c r="F2" s="112"/>
      <c r="G2" s="112"/>
      <c r="H2" s="112"/>
      <c r="I2" s="112"/>
      <c r="J2" s="112"/>
      <c r="K2" s="112"/>
      <c r="L2" s="112"/>
      <c r="M2" s="112"/>
      <c r="N2" s="112"/>
      <c r="O2" s="112"/>
    </row>
    <row r="3" spans="1:15" ht="18" customHeight="1" x14ac:dyDescent="0.25">
      <c r="A3" s="210" t="s">
        <v>247</v>
      </c>
      <c r="B3" s="172"/>
      <c r="C3" s="172"/>
      <c r="D3" s="173"/>
      <c r="E3" s="173"/>
      <c r="F3" s="173"/>
      <c r="G3" s="173"/>
      <c r="H3" s="173"/>
      <c r="I3" s="173"/>
      <c r="J3" s="173"/>
      <c r="K3" s="173"/>
      <c r="L3" s="173"/>
      <c r="M3" s="173"/>
      <c r="N3" s="173"/>
      <c r="O3" s="173"/>
    </row>
    <row r="4" spans="1:15" ht="2.1" customHeight="1" x14ac:dyDescent="0.2">
      <c r="A4" s="174"/>
      <c r="B4" s="175"/>
      <c r="C4" s="175"/>
      <c r="D4" s="176"/>
      <c r="E4" s="176"/>
      <c r="F4" s="176"/>
      <c r="G4" s="176"/>
      <c r="H4" s="176"/>
      <c r="I4" s="176"/>
      <c r="J4" s="176"/>
      <c r="K4" s="176"/>
      <c r="L4" s="176"/>
      <c r="M4" s="108" t="s">
        <v>93</v>
      </c>
      <c r="N4" s="108" t="s">
        <v>93</v>
      </c>
      <c r="O4" s="108" t="s">
        <v>93</v>
      </c>
    </row>
    <row r="5" spans="1:15" ht="15" customHeight="1" x14ac:dyDescent="0.2">
      <c r="A5" s="113" t="s">
        <v>94</v>
      </c>
      <c r="C5" s="114">
        <v>39082</v>
      </c>
      <c r="D5" s="114">
        <v>39447</v>
      </c>
      <c r="E5" s="114">
        <v>39813</v>
      </c>
      <c r="F5" s="115">
        <v>40178</v>
      </c>
      <c r="G5" s="115">
        <v>40543</v>
      </c>
      <c r="H5" s="115">
        <v>40908</v>
      </c>
      <c r="I5" s="115">
        <v>41274</v>
      </c>
      <c r="J5" s="115">
        <v>41639</v>
      </c>
      <c r="K5" s="115">
        <v>42004</v>
      </c>
      <c r="L5" s="115">
        <v>42369</v>
      </c>
      <c r="M5" s="115">
        <v>42735</v>
      </c>
      <c r="N5" s="115">
        <v>43100</v>
      </c>
      <c r="O5" s="115">
        <v>43465</v>
      </c>
    </row>
    <row r="6" spans="1:15" ht="15" customHeight="1" x14ac:dyDescent="0.2">
      <c r="A6" s="29"/>
      <c r="B6" s="141"/>
      <c r="D6" s="159"/>
      <c r="E6" s="159"/>
      <c r="F6" s="159"/>
      <c r="G6" s="159"/>
      <c r="H6" s="159"/>
      <c r="I6" s="159"/>
      <c r="J6" s="159"/>
      <c r="K6" s="159"/>
      <c r="L6" s="159"/>
      <c r="M6" s="159"/>
      <c r="N6" s="159"/>
      <c r="O6" s="159"/>
    </row>
    <row r="7" spans="1:15" s="26" customFormat="1" ht="15" customHeight="1" x14ac:dyDescent="0.2">
      <c r="A7" s="36" t="s">
        <v>106</v>
      </c>
      <c r="F7" s="42"/>
      <c r="G7" s="42"/>
      <c r="H7" s="42"/>
      <c r="I7" s="42"/>
      <c r="J7" s="42"/>
      <c r="K7" s="42"/>
      <c r="L7" s="42"/>
      <c r="M7" s="42"/>
      <c r="N7" s="42"/>
      <c r="O7" s="42"/>
    </row>
    <row r="8" spans="1:15" ht="15" customHeight="1" x14ac:dyDescent="0.2">
      <c r="A8" s="147"/>
      <c r="B8" s="13" t="s">
        <v>210</v>
      </c>
      <c r="C8" s="147"/>
      <c r="D8" s="152">
        <f>D20</f>
        <v>21</v>
      </c>
      <c r="E8" s="152">
        <f>E20</f>
        <v>26</v>
      </c>
      <c r="F8" s="45">
        <v>26</v>
      </c>
      <c r="G8" s="45">
        <v>26</v>
      </c>
      <c r="H8" s="45">
        <v>26</v>
      </c>
      <c r="I8" s="45">
        <v>26</v>
      </c>
      <c r="J8" s="45">
        <v>26</v>
      </c>
      <c r="K8" s="45">
        <v>26</v>
      </c>
      <c r="L8" s="45">
        <v>26</v>
      </c>
      <c r="M8" s="45">
        <v>26</v>
      </c>
      <c r="N8" s="45">
        <v>26</v>
      </c>
      <c r="O8" s="45">
        <v>26</v>
      </c>
    </row>
    <row r="9" spans="1:15" ht="15" customHeight="1" x14ac:dyDescent="0.2">
      <c r="A9" s="147"/>
      <c r="B9" s="13" t="s">
        <v>211</v>
      </c>
      <c r="C9" s="147"/>
      <c r="D9" s="147"/>
      <c r="E9" s="152"/>
      <c r="F9" s="45">
        <v>0.7</v>
      </c>
      <c r="G9" s="45">
        <v>0.7</v>
      </c>
      <c r="H9" s="45">
        <v>0.7</v>
      </c>
      <c r="I9" s="45">
        <v>0.7</v>
      </c>
      <c r="J9" s="45">
        <v>0.7</v>
      </c>
      <c r="K9" s="45">
        <v>0.7</v>
      </c>
      <c r="L9" s="45">
        <v>0.7</v>
      </c>
      <c r="M9" s="45">
        <v>0.7</v>
      </c>
      <c r="N9" s="45">
        <v>0.7</v>
      </c>
      <c r="O9" s="45">
        <v>0.7</v>
      </c>
    </row>
    <row r="10" spans="1:15" ht="15" customHeight="1" x14ac:dyDescent="0.2">
      <c r="A10" s="147"/>
      <c r="B10" s="13" t="s">
        <v>212</v>
      </c>
      <c r="C10" s="21"/>
      <c r="D10" s="21"/>
      <c r="E10" s="152"/>
      <c r="F10" s="45">
        <v>4653.8</v>
      </c>
      <c r="G10" s="45">
        <v>4653.8</v>
      </c>
      <c r="H10" s="45">
        <v>4653.8</v>
      </c>
      <c r="I10" s="45">
        <v>4653.8</v>
      </c>
      <c r="J10" s="45">
        <v>4653.8</v>
      </c>
      <c r="K10" s="45">
        <v>4653.8</v>
      </c>
      <c r="L10" s="45">
        <v>4653.8</v>
      </c>
      <c r="M10" s="45">
        <v>4653.8</v>
      </c>
      <c r="N10" s="45">
        <v>4653.8</v>
      </c>
      <c r="O10" s="45">
        <v>4653.8</v>
      </c>
    </row>
    <row r="11" spans="1:15" ht="15" customHeight="1" x14ac:dyDescent="0.2">
      <c r="A11" s="147"/>
      <c r="B11" s="2" t="s">
        <v>213</v>
      </c>
      <c r="C11" s="14"/>
      <c r="D11" s="21"/>
      <c r="E11" s="152"/>
      <c r="F11" s="46">
        <v>1</v>
      </c>
      <c r="G11" s="46">
        <v>1</v>
      </c>
      <c r="H11" s="46">
        <v>1</v>
      </c>
      <c r="I11" s="46">
        <v>1</v>
      </c>
      <c r="J11" s="46">
        <v>1</v>
      </c>
      <c r="K11" s="46">
        <v>1</v>
      </c>
      <c r="L11" s="46">
        <v>1</v>
      </c>
      <c r="M11" s="46">
        <v>1</v>
      </c>
      <c r="N11" s="46">
        <v>1</v>
      </c>
      <c r="O11" s="46">
        <v>1</v>
      </c>
    </row>
    <row r="12" spans="1:15" ht="15" customHeight="1" x14ac:dyDescent="0.2">
      <c r="A12" s="141"/>
      <c r="B12" s="13" t="s">
        <v>214</v>
      </c>
      <c r="C12" s="22"/>
      <c r="D12" s="23"/>
      <c r="E12" s="162"/>
      <c r="F12" s="47">
        <v>0.222</v>
      </c>
      <c r="G12" s="47">
        <v>0.22600000000000001</v>
      </c>
      <c r="H12" s="47">
        <v>0.23100000000000001</v>
      </c>
      <c r="I12" s="47">
        <v>0.23599999999999999</v>
      </c>
      <c r="J12" s="47">
        <v>0.24099999999999999</v>
      </c>
      <c r="K12" s="47">
        <v>0.246</v>
      </c>
      <c r="L12" s="47">
        <v>0.251</v>
      </c>
      <c r="M12" s="47">
        <v>0.25600000000000001</v>
      </c>
      <c r="N12" s="47">
        <v>0.26100000000000001</v>
      </c>
      <c r="O12" s="47">
        <v>0.26600000000000001</v>
      </c>
    </row>
    <row r="13" spans="1:15" ht="15" customHeight="1" x14ac:dyDescent="0.2">
      <c r="A13" s="141"/>
      <c r="B13" s="11" t="s">
        <v>215</v>
      </c>
      <c r="C13" s="142"/>
      <c r="D13" s="142"/>
      <c r="E13" s="142"/>
      <c r="F13" s="45">
        <v>18</v>
      </c>
      <c r="G13" s="45">
        <v>0</v>
      </c>
      <c r="H13" s="45">
        <v>0</v>
      </c>
      <c r="I13" s="45">
        <v>0</v>
      </c>
      <c r="J13" s="45">
        <v>0</v>
      </c>
      <c r="K13" s="45">
        <v>0</v>
      </c>
      <c r="L13" s="45">
        <v>0</v>
      </c>
      <c r="M13" s="45">
        <v>0</v>
      </c>
      <c r="N13" s="45">
        <v>0</v>
      </c>
      <c r="O13" s="45">
        <v>0</v>
      </c>
    </row>
    <row r="14" spans="1:15" ht="15" customHeight="1" x14ac:dyDescent="0.2">
      <c r="B14" s="13" t="s">
        <v>216</v>
      </c>
      <c r="C14" s="8"/>
      <c r="D14" s="123">
        <f>D35</f>
        <v>2.7149999999999999</v>
      </c>
      <c r="E14" s="123">
        <f>E35</f>
        <v>2.7149999999999999</v>
      </c>
      <c r="F14" s="45">
        <v>2.7149999999999999</v>
      </c>
      <c r="G14" s="45">
        <v>2.7149999999999999</v>
      </c>
      <c r="H14" s="45">
        <v>2.7149999999999999</v>
      </c>
      <c r="I14" s="45">
        <v>2.7149999999999999</v>
      </c>
      <c r="J14" s="45">
        <v>2.7149999999999999</v>
      </c>
      <c r="K14" s="45">
        <v>2.7149999999999999</v>
      </c>
      <c r="L14" s="45">
        <v>2.7149999999999999</v>
      </c>
      <c r="M14" s="45">
        <v>2.7149999999999999</v>
      </c>
      <c r="N14" s="45">
        <v>2.7149999999999999</v>
      </c>
      <c r="O14" s="45">
        <v>2.7149999999999999</v>
      </c>
    </row>
    <row r="15" spans="1:15" ht="15" customHeight="1" x14ac:dyDescent="0.2">
      <c r="B15" s="13" t="s">
        <v>217</v>
      </c>
      <c r="C15" s="12"/>
      <c r="D15" s="12"/>
      <c r="E15" s="123"/>
      <c r="F15" s="45">
        <v>5782.7</v>
      </c>
      <c r="G15" s="45">
        <v>5782.7</v>
      </c>
      <c r="H15" s="45">
        <v>5782.7</v>
      </c>
      <c r="I15" s="45">
        <v>5782.7</v>
      </c>
      <c r="J15" s="45">
        <v>5782.7</v>
      </c>
      <c r="K15" s="45">
        <v>5782.7</v>
      </c>
      <c r="L15" s="45">
        <v>5782.7</v>
      </c>
      <c r="M15" s="45">
        <v>5782.7</v>
      </c>
      <c r="N15" s="45">
        <v>5782.7</v>
      </c>
      <c r="O15" s="45">
        <v>5782.7</v>
      </c>
    </row>
    <row r="16" spans="1:15" ht="15" customHeight="1" x14ac:dyDescent="0.2">
      <c r="A16" s="147"/>
      <c r="B16" s="2" t="s">
        <v>218</v>
      </c>
      <c r="C16" s="14"/>
      <c r="D16" s="21"/>
      <c r="E16" s="152"/>
      <c r="F16" s="46">
        <v>1</v>
      </c>
      <c r="G16" s="46">
        <v>1</v>
      </c>
      <c r="H16" s="46">
        <v>1</v>
      </c>
      <c r="I16" s="46">
        <v>1</v>
      </c>
      <c r="J16" s="46">
        <v>1</v>
      </c>
      <c r="K16" s="46">
        <v>1</v>
      </c>
      <c r="L16" s="46">
        <v>1</v>
      </c>
      <c r="M16" s="46">
        <v>1</v>
      </c>
      <c r="N16" s="46">
        <v>1</v>
      </c>
      <c r="O16" s="46">
        <v>1</v>
      </c>
    </row>
    <row r="17" spans="1:15" ht="15" customHeight="1" x14ac:dyDescent="0.2">
      <c r="A17" s="147"/>
      <c r="B17" s="13" t="s">
        <v>219</v>
      </c>
      <c r="C17" s="24"/>
      <c r="D17" s="24"/>
      <c r="E17" s="145"/>
      <c r="F17" s="47">
        <v>0.156</v>
      </c>
      <c r="G17" s="47">
        <v>0.161</v>
      </c>
      <c r="H17" s="47">
        <v>0.16600000000000001</v>
      </c>
      <c r="I17" s="47">
        <v>0.17100000000000001</v>
      </c>
      <c r="J17" s="47">
        <v>0.17599999999999999</v>
      </c>
      <c r="K17" s="47">
        <v>0.18099999999999999</v>
      </c>
      <c r="L17" s="47">
        <v>0.186</v>
      </c>
      <c r="M17" s="47">
        <v>0.192</v>
      </c>
      <c r="N17" s="47">
        <v>0.19800000000000001</v>
      </c>
      <c r="O17" s="47">
        <v>0.20399999999999999</v>
      </c>
    </row>
    <row r="18" spans="1:15" ht="15" customHeight="1" x14ac:dyDescent="0.2">
      <c r="F18" s="158"/>
      <c r="G18" s="158"/>
      <c r="H18" s="158"/>
      <c r="I18" s="158"/>
      <c r="J18" s="158"/>
      <c r="K18" s="158"/>
      <c r="L18" s="158"/>
      <c r="M18" s="158"/>
      <c r="N18" s="158"/>
      <c r="O18" s="158"/>
    </row>
    <row r="19" spans="1:15" ht="15" customHeight="1" x14ac:dyDescent="0.2">
      <c r="A19" s="36" t="s">
        <v>220</v>
      </c>
      <c r="B19" s="148"/>
      <c r="C19" s="147"/>
      <c r="D19" s="147"/>
      <c r="E19" s="147"/>
      <c r="F19" s="147"/>
      <c r="G19" s="147"/>
      <c r="H19" s="147"/>
      <c r="I19" s="147"/>
      <c r="J19" s="147"/>
      <c r="K19" s="147"/>
      <c r="L19" s="147"/>
      <c r="M19" s="147"/>
      <c r="N19" s="147"/>
      <c r="O19" s="147"/>
    </row>
    <row r="20" spans="1:15" ht="15" customHeight="1" x14ac:dyDescent="0.2">
      <c r="A20" s="147"/>
      <c r="B20" s="13" t="s">
        <v>210</v>
      </c>
      <c r="C20" s="147"/>
      <c r="D20" s="21">
        <v>21</v>
      </c>
      <c r="E20" s="21">
        <v>26</v>
      </c>
      <c r="F20" s="152">
        <f>Revenues!F8</f>
        <v>26</v>
      </c>
      <c r="G20" s="152">
        <f>Revenues!G8</f>
        <v>26</v>
      </c>
      <c r="H20" s="152">
        <f>Revenues!H8</f>
        <v>26</v>
      </c>
      <c r="I20" s="152">
        <f>Revenues!I8</f>
        <v>26</v>
      </c>
      <c r="J20" s="152">
        <f>Revenues!J8</f>
        <v>26</v>
      </c>
      <c r="K20" s="152">
        <f>Revenues!K8</f>
        <v>26</v>
      </c>
      <c r="L20" s="152">
        <f>Revenues!L8</f>
        <v>26</v>
      </c>
      <c r="M20" s="152">
        <f>Revenues!M8</f>
        <v>26</v>
      </c>
      <c r="N20" s="152">
        <f>Revenues!N8</f>
        <v>26</v>
      </c>
      <c r="O20" s="152">
        <f>Revenues!O8</f>
        <v>26</v>
      </c>
    </row>
    <row r="21" spans="1:15" ht="15" customHeight="1" x14ac:dyDescent="0.2">
      <c r="A21" s="147"/>
      <c r="B21" s="13" t="s">
        <v>221</v>
      </c>
      <c r="C21" s="147"/>
      <c r="D21" s="21">
        <v>0.7</v>
      </c>
      <c r="E21" s="21">
        <v>0.7</v>
      </c>
      <c r="F21" s="152">
        <f>Revenues!F9</f>
        <v>0.7</v>
      </c>
      <c r="G21" s="152">
        <f>Revenues!G9</f>
        <v>0.7</v>
      </c>
      <c r="H21" s="152">
        <f>Revenues!H9</f>
        <v>0.7</v>
      </c>
      <c r="I21" s="152">
        <f>Revenues!I9</f>
        <v>0.7</v>
      </c>
      <c r="J21" s="152">
        <f>Revenues!J9</f>
        <v>0.7</v>
      </c>
      <c r="K21" s="152">
        <f>Revenues!K9</f>
        <v>0.7</v>
      </c>
      <c r="L21" s="152">
        <f>Revenues!L9</f>
        <v>0.7</v>
      </c>
      <c r="M21" s="152">
        <f>Revenues!M9</f>
        <v>0.7</v>
      </c>
      <c r="N21" s="152">
        <f>Revenues!N9</f>
        <v>0.7</v>
      </c>
      <c r="O21" s="152">
        <f>Revenues!O9</f>
        <v>0.7</v>
      </c>
    </row>
    <row r="22" spans="1:15" ht="15" customHeight="1" x14ac:dyDescent="0.2">
      <c r="A22" s="147"/>
      <c r="B22" s="13" t="s">
        <v>271</v>
      </c>
      <c r="C22" s="147"/>
      <c r="D22" s="21">
        <f>D21*D20</f>
        <v>14.7</v>
      </c>
      <c r="E22" s="21">
        <v>18.2</v>
      </c>
      <c r="F22" s="152">
        <f>F20*F21</f>
        <v>18.2</v>
      </c>
      <c r="G22" s="152">
        <f t="shared" ref="G22:O22" si="0">G20*G21</f>
        <v>18.2</v>
      </c>
      <c r="H22" s="152">
        <f t="shared" si="0"/>
        <v>18.2</v>
      </c>
      <c r="I22" s="152">
        <f t="shared" si="0"/>
        <v>18.2</v>
      </c>
      <c r="J22" s="152">
        <f t="shared" si="0"/>
        <v>18.2</v>
      </c>
      <c r="K22" s="152">
        <f t="shared" si="0"/>
        <v>18.2</v>
      </c>
      <c r="L22" s="152">
        <f t="shared" si="0"/>
        <v>18.2</v>
      </c>
      <c r="M22" s="152">
        <f t="shared" si="0"/>
        <v>18.2</v>
      </c>
      <c r="N22" s="152">
        <f t="shared" si="0"/>
        <v>18.2</v>
      </c>
      <c r="O22" s="152">
        <f t="shared" si="0"/>
        <v>18.2</v>
      </c>
    </row>
    <row r="23" spans="1:15" ht="15" customHeight="1" x14ac:dyDescent="0.2">
      <c r="A23" s="147"/>
      <c r="B23" s="13" t="s">
        <v>222</v>
      </c>
      <c r="C23" s="21"/>
      <c r="D23" s="21"/>
      <c r="E23" s="21"/>
      <c r="F23" s="152">
        <f>Revenues!F10</f>
        <v>4653.8</v>
      </c>
      <c r="G23" s="152">
        <f>Revenues!G10</f>
        <v>4653.8</v>
      </c>
      <c r="H23" s="152">
        <f>Revenues!H10</f>
        <v>4653.8</v>
      </c>
      <c r="I23" s="152">
        <f>Revenues!I10</f>
        <v>4653.8</v>
      </c>
      <c r="J23" s="152">
        <f>Revenues!J10</f>
        <v>4653.8</v>
      </c>
      <c r="K23" s="152">
        <f>Revenues!K10</f>
        <v>4653.8</v>
      </c>
      <c r="L23" s="152">
        <f>Revenues!L10</f>
        <v>4653.8</v>
      </c>
      <c r="M23" s="152">
        <f>Revenues!M10</f>
        <v>4653.8</v>
      </c>
      <c r="N23" s="152">
        <f>Revenues!N10</f>
        <v>4653.8</v>
      </c>
      <c r="O23" s="152">
        <f>Revenues!O10</f>
        <v>4653.8</v>
      </c>
    </row>
    <row r="24" spans="1:15" ht="15" customHeight="1" x14ac:dyDescent="0.2">
      <c r="A24" s="147"/>
      <c r="B24" s="13" t="s">
        <v>223</v>
      </c>
      <c r="C24" s="147"/>
      <c r="D24" s="21">
        <v>61603</v>
      </c>
      <c r="E24" s="21">
        <v>80812</v>
      </c>
      <c r="F24" s="152">
        <f>AVERAGE(E22:F22)*F23</f>
        <v>84699.16</v>
      </c>
      <c r="G24" s="152">
        <f t="shared" ref="G24:O24" si="1">AVERAGE(F22:G22)*G23</f>
        <v>84699.16</v>
      </c>
      <c r="H24" s="152">
        <f t="shared" si="1"/>
        <v>84699.16</v>
      </c>
      <c r="I24" s="152">
        <f t="shared" si="1"/>
        <v>84699.16</v>
      </c>
      <c r="J24" s="152">
        <f t="shared" si="1"/>
        <v>84699.16</v>
      </c>
      <c r="K24" s="152">
        <f t="shared" si="1"/>
        <v>84699.16</v>
      </c>
      <c r="L24" s="152">
        <f t="shared" si="1"/>
        <v>84699.16</v>
      </c>
      <c r="M24" s="152">
        <f t="shared" si="1"/>
        <v>84699.16</v>
      </c>
      <c r="N24" s="152">
        <f t="shared" si="1"/>
        <v>84699.16</v>
      </c>
      <c r="O24" s="152">
        <f t="shared" si="1"/>
        <v>84699.16</v>
      </c>
    </row>
    <row r="25" spans="1:15" ht="15" customHeight="1" x14ac:dyDescent="0.2">
      <c r="A25" s="147"/>
      <c r="B25" s="2" t="s">
        <v>224</v>
      </c>
      <c r="C25" s="14"/>
      <c r="D25" s="21"/>
      <c r="E25" s="21"/>
      <c r="F25" s="163">
        <f>Revenues!F11</f>
        <v>1</v>
      </c>
      <c r="G25" s="163">
        <f>Revenues!G11</f>
        <v>1</v>
      </c>
      <c r="H25" s="163">
        <f>Revenues!H11</f>
        <v>1</v>
      </c>
      <c r="I25" s="163">
        <f>Revenues!I11</f>
        <v>1</v>
      </c>
      <c r="J25" s="163">
        <f>Revenues!J11</f>
        <v>1</v>
      </c>
      <c r="K25" s="163">
        <f>Revenues!K11</f>
        <v>1</v>
      </c>
      <c r="L25" s="163">
        <f>Revenues!L11</f>
        <v>1</v>
      </c>
      <c r="M25" s="163">
        <f>Revenues!M11</f>
        <v>1</v>
      </c>
      <c r="N25" s="163">
        <f>Revenues!N11</f>
        <v>1</v>
      </c>
      <c r="O25" s="163">
        <f>Revenues!O11</f>
        <v>1</v>
      </c>
    </row>
    <row r="26" spans="1:15" ht="15" customHeight="1" x14ac:dyDescent="0.2">
      <c r="A26" s="147"/>
      <c r="B26" s="2" t="s">
        <v>225</v>
      </c>
      <c r="C26" s="14"/>
      <c r="D26" s="21"/>
      <c r="E26" s="21"/>
      <c r="F26" s="164">
        <f t="shared" ref="F26:O26" si="2">F24*F25</f>
        <v>84699.16</v>
      </c>
      <c r="G26" s="164">
        <f t="shared" si="2"/>
        <v>84699.16</v>
      </c>
      <c r="H26" s="164">
        <f t="shared" si="2"/>
        <v>84699.16</v>
      </c>
      <c r="I26" s="164">
        <f t="shared" si="2"/>
        <v>84699.16</v>
      </c>
      <c r="J26" s="164">
        <f t="shared" si="2"/>
        <v>84699.16</v>
      </c>
      <c r="K26" s="164">
        <f t="shared" si="2"/>
        <v>84699.16</v>
      </c>
      <c r="L26" s="164">
        <f t="shared" si="2"/>
        <v>84699.16</v>
      </c>
      <c r="M26" s="164">
        <f t="shared" si="2"/>
        <v>84699.16</v>
      </c>
      <c r="N26" s="164">
        <f t="shared" si="2"/>
        <v>84699.16</v>
      </c>
      <c r="O26" s="164">
        <f t="shared" si="2"/>
        <v>84699.16</v>
      </c>
    </row>
    <row r="27" spans="1:15" ht="15" customHeight="1" x14ac:dyDescent="0.2">
      <c r="A27" s="147"/>
      <c r="B27" s="13" t="s">
        <v>226</v>
      </c>
      <c r="C27" s="22"/>
      <c r="D27" s="23"/>
      <c r="E27" s="23"/>
      <c r="F27" s="162">
        <f>Revenues!F12</f>
        <v>0.222</v>
      </c>
      <c r="G27" s="162">
        <f>Revenues!G12</f>
        <v>0.22600000000000001</v>
      </c>
      <c r="H27" s="162">
        <f>Revenues!H12</f>
        <v>0.23100000000000001</v>
      </c>
      <c r="I27" s="162">
        <f>Revenues!I12</f>
        <v>0.23599999999999999</v>
      </c>
      <c r="J27" s="162">
        <f>Revenues!J12</f>
        <v>0.24099999999999999</v>
      </c>
      <c r="K27" s="162">
        <f>Revenues!K12</f>
        <v>0.246</v>
      </c>
      <c r="L27" s="162">
        <f>Revenues!L12</f>
        <v>0.251</v>
      </c>
      <c r="M27" s="162">
        <f>Revenues!M12</f>
        <v>0.25600000000000001</v>
      </c>
      <c r="N27" s="162">
        <f>Revenues!N12</f>
        <v>0.26100000000000001</v>
      </c>
      <c r="O27" s="162">
        <f>Revenues!O12</f>
        <v>0.26600000000000001</v>
      </c>
    </row>
    <row r="28" spans="1:15" ht="15" customHeight="1" x14ac:dyDescent="0.2">
      <c r="B28" s="2" t="s">
        <v>227</v>
      </c>
      <c r="C28" s="129"/>
      <c r="D28" s="129"/>
      <c r="E28" s="8"/>
      <c r="F28" s="129">
        <f t="shared" ref="F28:O28" si="3">F26*F27</f>
        <v>18803.213520000001</v>
      </c>
      <c r="G28" s="129">
        <f t="shared" si="3"/>
        <v>19142.010160000002</v>
      </c>
      <c r="H28" s="129">
        <f t="shared" si="3"/>
        <v>19565.505960000002</v>
      </c>
      <c r="I28" s="129">
        <f t="shared" si="3"/>
        <v>19989.001759999999</v>
      </c>
      <c r="J28" s="129">
        <f t="shared" si="3"/>
        <v>20412.49756</v>
      </c>
      <c r="K28" s="129">
        <f t="shared" si="3"/>
        <v>20835.99336</v>
      </c>
      <c r="L28" s="129">
        <f t="shared" si="3"/>
        <v>21259.489160000001</v>
      </c>
      <c r="M28" s="129">
        <f t="shared" si="3"/>
        <v>21682.984960000002</v>
      </c>
      <c r="N28" s="129">
        <f t="shared" si="3"/>
        <v>22106.480760000002</v>
      </c>
      <c r="O28" s="129">
        <f t="shared" si="3"/>
        <v>22529.976560000003</v>
      </c>
    </row>
    <row r="29" spans="1:15" ht="15" customHeight="1" x14ac:dyDescent="0.2">
      <c r="A29" s="147"/>
      <c r="B29" s="13" t="s">
        <v>228</v>
      </c>
      <c r="C29" s="21"/>
      <c r="D29" s="21">
        <v>8</v>
      </c>
      <c r="E29" s="21">
        <v>8</v>
      </c>
      <c r="F29" s="152">
        <f>Revenues!F13+E29</f>
        <v>26</v>
      </c>
      <c r="G29" s="152">
        <f>Revenues!G13+F29</f>
        <v>26</v>
      </c>
      <c r="H29" s="152">
        <f>Revenues!H13+G29</f>
        <v>26</v>
      </c>
      <c r="I29" s="152">
        <f>Revenues!I13+H29</f>
        <v>26</v>
      </c>
      <c r="J29" s="152">
        <f>Revenues!J13+I29</f>
        <v>26</v>
      </c>
      <c r="K29" s="152">
        <f>Revenues!K13+J29</f>
        <v>26</v>
      </c>
      <c r="L29" s="152">
        <f>Revenues!L13+K29</f>
        <v>26</v>
      </c>
      <c r="M29" s="152">
        <f>Revenues!M13+L29</f>
        <v>26</v>
      </c>
      <c r="N29" s="152">
        <f>Revenues!N13+M29</f>
        <v>26</v>
      </c>
      <c r="O29" s="152">
        <f>Revenues!O13+N29</f>
        <v>26</v>
      </c>
    </row>
    <row r="30" spans="1:15" ht="15" customHeight="1" x14ac:dyDescent="0.2">
      <c r="A30" s="147"/>
      <c r="B30" s="13" t="s">
        <v>275</v>
      </c>
      <c r="C30" s="147"/>
      <c r="D30" s="147"/>
      <c r="E30" s="27"/>
      <c r="F30" s="163">
        <f t="shared" ref="F30:O30" si="4">AVERAGE(E29:F29)/AVERAGE(E20:F20)</f>
        <v>0.65384615384615385</v>
      </c>
      <c r="G30" s="163">
        <f t="shared" si="4"/>
        <v>1</v>
      </c>
      <c r="H30" s="163">
        <f t="shared" si="4"/>
        <v>1</v>
      </c>
      <c r="I30" s="163">
        <f t="shared" si="4"/>
        <v>1</v>
      </c>
      <c r="J30" s="163">
        <f t="shared" si="4"/>
        <v>1</v>
      </c>
      <c r="K30" s="163">
        <f t="shared" si="4"/>
        <v>1</v>
      </c>
      <c r="L30" s="163">
        <f t="shared" si="4"/>
        <v>1</v>
      </c>
      <c r="M30" s="163">
        <f t="shared" si="4"/>
        <v>1</v>
      </c>
      <c r="N30" s="163">
        <f t="shared" si="4"/>
        <v>1</v>
      </c>
      <c r="O30" s="163">
        <f t="shared" si="4"/>
        <v>1</v>
      </c>
    </row>
    <row r="31" spans="1:15" ht="15" customHeight="1" x14ac:dyDescent="0.2">
      <c r="A31" s="147"/>
      <c r="B31" s="35" t="s">
        <v>229</v>
      </c>
      <c r="C31" s="26"/>
      <c r="D31" s="26"/>
      <c r="E31" s="28"/>
      <c r="F31" s="15">
        <f t="shared" ref="F31:O31" si="5">F28*F30</f>
        <v>12294.40884</v>
      </c>
      <c r="G31" s="15">
        <f t="shared" si="5"/>
        <v>19142.010160000002</v>
      </c>
      <c r="H31" s="15">
        <f t="shared" si="5"/>
        <v>19565.505960000002</v>
      </c>
      <c r="I31" s="15">
        <f t="shared" si="5"/>
        <v>19989.001759999999</v>
      </c>
      <c r="J31" s="15">
        <f t="shared" si="5"/>
        <v>20412.49756</v>
      </c>
      <c r="K31" s="15">
        <f t="shared" si="5"/>
        <v>20835.99336</v>
      </c>
      <c r="L31" s="15">
        <f t="shared" si="5"/>
        <v>21259.489160000001</v>
      </c>
      <c r="M31" s="15">
        <f t="shared" si="5"/>
        <v>21682.984960000002</v>
      </c>
      <c r="N31" s="15">
        <f t="shared" si="5"/>
        <v>22106.480760000002</v>
      </c>
      <c r="O31" s="15">
        <f t="shared" si="5"/>
        <v>22529.976560000003</v>
      </c>
    </row>
    <row r="32" spans="1:15" ht="15" customHeight="1" x14ac:dyDescent="0.2">
      <c r="B32" s="1" t="s">
        <v>230</v>
      </c>
      <c r="C32" s="8">
        <v>6219.7826999999997</v>
      </c>
      <c r="D32" s="8">
        <v>7069.7951999999996</v>
      </c>
      <c r="E32" s="8">
        <v>11656.066800000001</v>
      </c>
      <c r="F32" s="129">
        <f t="shared" ref="F32:O32" si="6">F28*(1-F30)</f>
        <v>6508.8046800000002</v>
      </c>
      <c r="G32" s="129">
        <f t="shared" si="6"/>
        <v>0</v>
      </c>
      <c r="H32" s="129">
        <f t="shared" si="6"/>
        <v>0</v>
      </c>
      <c r="I32" s="129">
        <f t="shared" si="6"/>
        <v>0</v>
      </c>
      <c r="J32" s="129">
        <f t="shared" si="6"/>
        <v>0</v>
      </c>
      <c r="K32" s="129">
        <f t="shared" si="6"/>
        <v>0</v>
      </c>
      <c r="L32" s="129">
        <f t="shared" si="6"/>
        <v>0</v>
      </c>
      <c r="M32" s="129">
        <f t="shared" si="6"/>
        <v>0</v>
      </c>
      <c r="N32" s="129">
        <f t="shared" si="6"/>
        <v>0</v>
      </c>
      <c r="O32" s="129">
        <f t="shared" si="6"/>
        <v>0</v>
      </c>
    </row>
    <row r="33" spans="1:15" ht="15" customHeight="1" x14ac:dyDescent="0.2">
      <c r="B33" s="25"/>
      <c r="C33" s="8"/>
      <c r="D33" s="8"/>
      <c r="E33" s="8"/>
      <c r="F33" s="129"/>
      <c r="G33" s="158"/>
      <c r="H33" s="129"/>
      <c r="I33" s="129"/>
      <c r="J33" s="129"/>
      <c r="K33" s="129"/>
      <c r="L33" s="129"/>
      <c r="M33" s="129"/>
      <c r="N33" s="129"/>
      <c r="O33" s="129"/>
    </row>
    <row r="34" spans="1:15" ht="15" customHeight="1" x14ac:dyDescent="0.2">
      <c r="A34" s="5" t="s">
        <v>231</v>
      </c>
      <c r="B34" s="144"/>
      <c r="C34" s="8"/>
      <c r="D34" s="8"/>
      <c r="E34" s="8"/>
      <c r="F34" s="152"/>
      <c r="G34" s="165"/>
      <c r="H34" s="129"/>
      <c r="I34" s="129"/>
      <c r="J34" s="129"/>
      <c r="K34" s="129"/>
      <c r="L34" s="129"/>
      <c r="M34" s="129"/>
      <c r="N34" s="129"/>
      <c r="O34" s="129"/>
    </row>
    <row r="35" spans="1:15" ht="15" customHeight="1" x14ac:dyDescent="0.2">
      <c r="B35" s="13" t="s">
        <v>232</v>
      </c>
      <c r="C35" s="8"/>
      <c r="D35" s="8">
        <v>2.7149999999999999</v>
      </c>
      <c r="E35" s="8">
        <v>2.7149999999999999</v>
      </c>
      <c r="F35" s="152">
        <f>Revenues!F14</f>
        <v>2.7149999999999999</v>
      </c>
      <c r="G35" s="152">
        <f>Revenues!G14</f>
        <v>2.7149999999999999</v>
      </c>
      <c r="H35" s="152">
        <f>Revenues!H14</f>
        <v>2.7149999999999999</v>
      </c>
      <c r="I35" s="152">
        <f>Revenues!I14</f>
        <v>2.7149999999999999</v>
      </c>
      <c r="J35" s="152">
        <f>Revenues!J14</f>
        <v>2.7149999999999999</v>
      </c>
      <c r="K35" s="152">
        <f>Revenues!K14</f>
        <v>2.7149999999999999</v>
      </c>
      <c r="L35" s="152">
        <f>Revenues!L14</f>
        <v>2.7149999999999999</v>
      </c>
      <c r="M35" s="152">
        <f>Revenues!M14</f>
        <v>2.7149999999999999</v>
      </c>
      <c r="N35" s="152">
        <f>Revenues!N14</f>
        <v>2.7149999999999999</v>
      </c>
      <c r="O35" s="152">
        <f>Revenues!O14</f>
        <v>2.7149999999999999</v>
      </c>
    </row>
    <row r="36" spans="1:15" ht="15" customHeight="1" x14ac:dyDescent="0.2">
      <c r="B36" s="1" t="s">
        <v>222</v>
      </c>
      <c r="C36" s="12"/>
      <c r="D36" s="12"/>
      <c r="E36" s="8"/>
      <c r="F36" s="152">
        <f>Revenues!F15</f>
        <v>5782.7</v>
      </c>
      <c r="G36" s="152">
        <f>Revenues!G15</f>
        <v>5782.7</v>
      </c>
      <c r="H36" s="152">
        <f>Revenues!H15</f>
        <v>5782.7</v>
      </c>
      <c r="I36" s="152">
        <f>Revenues!I15</f>
        <v>5782.7</v>
      </c>
      <c r="J36" s="152">
        <f>Revenues!J15</f>
        <v>5782.7</v>
      </c>
      <c r="K36" s="152">
        <f>Revenues!K15</f>
        <v>5782.7</v>
      </c>
      <c r="L36" s="152">
        <f>Revenues!L15</f>
        <v>5782.7</v>
      </c>
      <c r="M36" s="152">
        <f>Revenues!M15</f>
        <v>5782.7</v>
      </c>
      <c r="N36" s="152">
        <f>Revenues!N15</f>
        <v>5782.7</v>
      </c>
      <c r="O36" s="152">
        <f>Revenues!O15</f>
        <v>5782.7</v>
      </c>
    </row>
    <row r="37" spans="1:15" ht="15" customHeight="1" x14ac:dyDescent="0.2">
      <c r="B37" s="1" t="s">
        <v>223</v>
      </c>
      <c r="C37" s="8"/>
      <c r="D37" s="8">
        <v>15464</v>
      </c>
      <c r="E37" s="8">
        <v>17048</v>
      </c>
      <c r="F37" s="152">
        <f t="shared" ref="F37:O37" si="7">AVERAGE(E35:F35)*F36</f>
        <v>15700.030499999999</v>
      </c>
      <c r="G37" s="152">
        <f t="shared" si="7"/>
        <v>15700.030499999999</v>
      </c>
      <c r="H37" s="152">
        <f t="shared" si="7"/>
        <v>15700.030499999999</v>
      </c>
      <c r="I37" s="152">
        <f t="shared" si="7"/>
        <v>15700.030499999999</v>
      </c>
      <c r="J37" s="152">
        <f t="shared" si="7"/>
        <v>15700.030499999999</v>
      </c>
      <c r="K37" s="152">
        <f t="shared" si="7"/>
        <v>15700.030499999999</v>
      </c>
      <c r="L37" s="152">
        <f t="shared" si="7"/>
        <v>15700.030499999999</v>
      </c>
      <c r="M37" s="152">
        <f t="shared" si="7"/>
        <v>15700.030499999999</v>
      </c>
      <c r="N37" s="152">
        <f t="shared" si="7"/>
        <v>15700.030499999999</v>
      </c>
      <c r="O37" s="152">
        <f t="shared" si="7"/>
        <v>15700.030499999999</v>
      </c>
    </row>
    <row r="38" spans="1:15" ht="15" customHeight="1" x14ac:dyDescent="0.2">
      <c r="A38" s="147"/>
      <c r="B38" s="2" t="s">
        <v>233</v>
      </c>
      <c r="C38" s="14"/>
      <c r="D38" s="21"/>
      <c r="E38" s="21"/>
      <c r="F38" s="163">
        <f>Revenues!F16</f>
        <v>1</v>
      </c>
      <c r="G38" s="163">
        <f>Revenues!G16</f>
        <v>1</v>
      </c>
      <c r="H38" s="163">
        <f>Revenues!H16</f>
        <v>1</v>
      </c>
      <c r="I38" s="163">
        <f>Revenues!I16</f>
        <v>1</v>
      </c>
      <c r="J38" s="163">
        <f>Revenues!J16</f>
        <v>1</v>
      </c>
      <c r="K38" s="163">
        <f>Revenues!K16</f>
        <v>1</v>
      </c>
      <c r="L38" s="163">
        <f>Revenues!L16</f>
        <v>1</v>
      </c>
      <c r="M38" s="163">
        <f>Revenues!M16</f>
        <v>1</v>
      </c>
      <c r="N38" s="163">
        <f>Revenues!N16</f>
        <v>1</v>
      </c>
      <c r="O38" s="163">
        <f>Revenues!O16</f>
        <v>1</v>
      </c>
    </row>
    <row r="39" spans="1:15" ht="15" customHeight="1" x14ac:dyDescent="0.2">
      <c r="A39" s="147"/>
      <c r="B39" s="2" t="s">
        <v>225</v>
      </c>
      <c r="C39" s="14"/>
      <c r="D39" s="21"/>
      <c r="E39" s="8"/>
      <c r="F39" s="164">
        <f t="shared" ref="F39:O39" si="8">F37*F38</f>
        <v>15700.030499999999</v>
      </c>
      <c r="G39" s="164">
        <f t="shared" si="8"/>
        <v>15700.030499999999</v>
      </c>
      <c r="H39" s="164">
        <f t="shared" si="8"/>
        <v>15700.030499999999</v>
      </c>
      <c r="I39" s="164">
        <f t="shared" si="8"/>
        <v>15700.030499999999</v>
      </c>
      <c r="J39" s="164">
        <f t="shared" si="8"/>
        <v>15700.030499999999</v>
      </c>
      <c r="K39" s="164">
        <f t="shared" si="8"/>
        <v>15700.030499999999</v>
      </c>
      <c r="L39" s="164">
        <f t="shared" si="8"/>
        <v>15700.030499999999</v>
      </c>
      <c r="M39" s="164">
        <f t="shared" si="8"/>
        <v>15700.030499999999</v>
      </c>
      <c r="N39" s="164">
        <f t="shared" si="8"/>
        <v>15700.030499999999</v>
      </c>
      <c r="O39" s="164">
        <f t="shared" si="8"/>
        <v>15700.030499999999</v>
      </c>
    </row>
    <row r="40" spans="1:15" ht="15" customHeight="1" x14ac:dyDescent="0.2">
      <c r="A40" s="147"/>
      <c r="B40" s="13" t="s">
        <v>226</v>
      </c>
      <c r="C40" s="24"/>
      <c r="D40" s="24"/>
      <c r="E40" s="24"/>
      <c r="F40" s="162">
        <f>Revenues!F17</f>
        <v>0.156</v>
      </c>
      <c r="G40" s="162">
        <f>Revenues!G17</f>
        <v>0.161</v>
      </c>
      <c r="H40" s="162">
        <f>Revenues!H17</f>
        <v>0.16600000000000001</v>
      </c>
      <c r="I40" s="162">
        <f>Revenues!I17</f>
        <v>0.17100000000000001</v>
      </c>
      <c r="J40" s="162">
        <f>Revenues!J17</f>
        <v>0.17599999999999999</v>
      </c>
      <c r="K40" s="162">
        <f>Revenues!K17</f>
        <v>0.18099999999999999</v>
      </c>
      <c r="L40" s="162">
        <f>Revenues!L17</f>
        <v>0.186</v>
      </c>
      <c r="M40" s="162">
        <f>Revenues!M17</f>
        <v>0.192</v>
      </c>
      <c r="N40" s="162">
        <f>Revenues!N17</f>
        <v>0.19800000000000001</v>
      </c>
      <c r="O40" s="162">
        <f>Revenues!O17</f>
        <v>0.20399999999999999</v>
      </c>
    </row>
    <row r="41" spans="1:15" ht="15" customHeight="1" x14ac:dyDescent="0.2">
      <c r="A41" s="26"/>
      <c r="B41" s="5" t="s">
        <v>227</v>
      </c>
      <c r="C41" s="15"/>
      <c r="D41" s="15"/>
      <c r="E41" s="28"/>
      <c r="F41" s="15">
        <f t="shared" ref="F41:O41" si="9">F39*F40</f>
        <v>2449.2047579999999</v>
      </c>
      <c r="G41" s="15">
        <f t="shared" si="9"/>
        <v>2527.7049105000001</v>
      </c>
      <c r="H41" s="15">
        <f t="shared" si="9"/>
        <v>2606.2050629999999</v>
      </c>
      <c r="I41" s="15">
        <f t="shared" si="9"/>
        <v>2684.7052155000001</v>
      </c>
      <c r="J41" s="15">
        <f t="shared" si="9"/>
        <v>2763.2053679999995</v>
      </c>
      <c r="K41" s="15">
        <f t="shared" si="9"/>
        <v>2841.7055204999997</v>
      </c>
      <c r="L41" s="15">
        <f t="shared" si="9"/>
        <v>2920.2056729999999</v>
      </c>
      <c r="M41" s="15">
        <f t="shared" si="9"/>
        <v>3014.4058559999999</v>
      </c>
      <c r="N41" s="15">
        <f t="shared" si="9"/>
        <v>3108.6060389999998</v>
      </c>
      <c r="O41" s="15">
        <f t="shared" si="9"/>
        <v>3202.8062219999997</v>
      </c>
    </row>
    <row r="42" spans="1:15" ht="15" customHeight="1" x14ac:dyDescent="0.2">
      <c r="A42" s="26"/>
      <c r="B42" s="6"/>
      <c r="C42" s="15"/>
      <c r="D42" s="15"/>
      <c r="E42" s="15"/>
      <c r="F42" s="15"/>
      <c r="G42" s="15"/>
      <c r="H42" s="15"/>
      <c r="I42" s="15"/>
      <c r="J42" s="15"/>
      <c r="K42" s="15"/>
      <c r="L42" s="15"/>
      <c r="M42" s="15"/>
      <c r="N42" s="15"/>
      <c r="O42" s="15"/>
    </row>
    <row r="43" spans="1:15" ht="15" customHeight="1" x14ac:dyDescent="0.2">
      <c r="A43" s="5" t="s">
        <v>157</v>
      </c>
      <c r="B43" s="144"/>
      <c r="C43" s="15"/>
      <c r="D43" s="15"/>
      <c r="E43" s="28"/>
      <c r="F43" s="15">
        <f>F41+F31</f>
        <v>14743.613598</v>
      </c>
      <c r="G43" s="15">
        <f t="shared" ref="G43:O43" si="10">G41+G31</f>
        <v>21669.715070500002</v>
      </c>
      <c r="H43" s="15">
        <f t="shared" si="10"/>
        <v>22171.711023000003</v>
      </c>
      <c r="I43" s="15">
        <f t="shared" si="10"/>
        <v>22673.706975499997</v>
      </c>
      <c r="J43" s="15">
        <f t="shared" si="10"/>
        <v>23175.702927999999</v>
      </c>
      <c r="K43" s="15">
        <f t="shared" si="10"/>
        <v>23677.6988805</v>
      </c>
      <c r="L43" s="15">
        <f t="shared" si="10"/>
        <v>24179.694833000001</v>
      </c>
      <c r="M43" s="15">
        <f t="shared" si="10"/>
        <v>24697.390816000003</v>
      </c>
      <c r="N43" s="15">
        <f t="shared" si="10"/>
        <v>25215.086799000001</v>
      </c>
      <c r="O43" s="15">
        <f t="shared" si="10"/>
        <v>25732.782782000002</v>
      </c>
    </row>
    <row r="46" spans="1:15" ht="15" customHeight="1" x14ac:dyDescent="0.2">
      <c r="B46" s="144"/>
      <c r="C46" s="8"/>
      <c r="D46" s="8"/>
      <c r="E46" s="8"/>
      <c r="F46" s="129"/>
      <c r="G46" s="129"/>
      <c r="H46" s="129"/>
      <c r="I46" s="129"/>
      <c r="J46" s="129"/>
      <c r="K46" s="129"/>
      <c r="L46" s="129"/>
      <c r="M46" s="129"/>
    </row>
    <row r="51" spans="2:13" ht="15" customHeight="1" x14ac:dyDescent="0.2">
      <c r="B51" s="144"/>
      <c r="C51" s="8"/>
      <c r="D51" s="8"/>
      <c r="E51" s="8"/>
      <c r="F51" s="129"/>
      <c r="G51" s="129"/>
      <c r="H51" s="129"/>
      <c r="I51" s="129"/>
      <c r="J51" s="129"/>
      <c r="K51" s="129"/>
      <c r="L51" s="129"/>
      <c r="M51" s="129"/>
    </row>
    <row r="52" spans="2:13" ht="15" customHeight="1" x14ac:dyDescent="0.2">
      <c r="B52" s="25"/>
      <c r="C52" s="12"/>
      <c r="D52" s="12"/>
      <c r="E52" s="12"/>
      <c r="F52" s="12"/>
      <c r="G52" s="12"/>
      <c r="H52" s="12"/>
      <c r="I52" s="12"/>
      <c r="J52" s="12"/>
      <c r="K52" s="12"/>
      <c r="L52" s="12"/>
      <c r="M52" s="12"/>
    </row>
    <row r="53" spans="2:13" ht="15" customHeight="1" x14ac:dyDescent="0.2">
      <c r="B53" s="25"/>
      <c r="C53" s="12"/>
      <c r="D53" s="12"/>
      <c r="E53" s="12"/>
      <c r="F53" s="15"/>
      <c r="G53" s="15"/>
      <c r="H53" s="15"/>
      <c r="I53" s="15"/>
      <c r="J53" s="15"/>
      <c r="K53" s="15"/>
    </row>
    <row r="54" spans="2:13" ht="15" customHeight="1" x14ac:dyDescent="0.2">
      <c r="B54" s="144"/>
      <c r="C54" s="12"/>
      <c r="D54" s="12"/>
      <c r="E54" s="8"/>
      <c r="F54" s="129"/>
      <c r="G54" s="129"/>
      <c r="H54" s="129"/>
      <c r="I54" s="129"/>
      <c r="J54" s="129"/>
      <c r="K54" s="129"/>
      <c r="L54" s="129"/>
      <c r="M54" s="129"/>
    </row>
    <row r="55" spans="2:13" ht="15" customHeight="1" x14ac:dyDescent="0.2">
      <c r="B55" s="144"/>
      <c r="C55" s="145"/>
      <c r="D55" s="145"/>
      <c r="E55" s="145"/>
      <c r="F55" s="145"/>
      <c r="G55" s="145"/>
      <c r="H55" s="145"/>
      <c r="I55" s="145"/>
      <c r="J55" s="145"/>
      <c r="K55" s="145"/>
      <c r="L55" s="145"/>
      <c r="M55" s="145"/>
    </row>
    <row r="56" spans="2:13" ht="15" customHeight="1" x14ac:dyDescent="0.2">
      <c r="B56" s="25"/>
      <c r="C56" s="12"/>
      <c r="D56" s="12"/>
      <c r="E56" s="12"/>
      <c r="F56" s="15"/>
      <c r="G56" s="15"/>
      <c r="H56" s="15"/>
      <c r="I56" s="15"/>
      <c r="J56" s="15"/>
      <c r="K56" s="15"/>
    </row>
    <row r="57" spans="2:13" ht="15" customHeight="1" x14ac:dyDescent="0.2">
      <c r="B57" s="144"/>
      <c r="D57" s="8"/>
      <c r="E57" s="8"/>
      <c r="F57" s="129"/>
      <c r="G57" s="129"/>
      <c r="H57" s="129"/>
      <c r="I57" s="129"/>
      <c r="J57" s="129"/>
      <c r="K57" s="129"/>
    </row>
    <row r="58" spans="2:13" ht="15" customHeight="1" x14ac:dyDescent="0.2">
      <c r="B58" s="144"/>
      <c r="C58" s="8"/>
      <c r="D58" s="8"/>
      <c r="E58" s="8"/>
      <c r="F58" s="129"/>
      <c r="G58" s="129"/>
      <c r="H58" s="129"/>
      <c r="I58" s="129"/>
      <c r="J58" s="129"/>
      <c r="K58" s="129"/>
    </row>
    <row r="59" spans="2:13" ht="15" customHeight="1" x14ac:dyDescent="0.2">
      <c r="B59" s="144"/>
      <c r="C59" s="8"/>
      <c r="D59" s="8"/>
      <c r="E59" s="8"/>
      <c r="F59" s="129"/>
      <c r="G59" s="129"/>
      <c r="H59" s="129"/>
      <c r="I59" s="129"/>
      <c r="J59" s="129"/>
      <c r="K59" s="129"/>
    </row>
    <row r="60" spans="2:13" ht="15" customHeight="1" x14ac:dyDescent="0.2">
      <c r="B60" s="144"/>
      <c r="C60" s="8"/>
      <c r="D60" s="8"/>
      <c r="E60" s="8"/>
      <c r="F60" s="129"/>
      <c r="G60" s="129"/>
      <c r="H60" s="129"/>
      <c r="I60" s="129"/>
      <c r="J60" s="129"/>
      <c r="K60" s="129"/>
    </row>
    <row r="61" spans="2:13" ht="15" customHeight="1" x14ac:dyDescent="0.2">
      <c r="B61" s="144"/>
      <c r="C61" s="8"/>
      <c r="D61" s="8"/>
      <c r="E61" s="8"/>
      <c r="F61" s="129"/>
      <c r="G61" s="129"/>
      <c r="H61" s="129"/>
      <c r="I61" s="129"/>
      <c r="J61" s="129"/>
      <c r="K61" s="129"/>
    </row>
    <row r="62" spans="2:13" ht="15" customHeight="1" x14ac:dyDescent="0.2">
      <c r="B62" s="144"/>
      <c r="C62" s="8"/>
      <c r="D62" s="8"/>
      <c r="E62" s="8"/>
      <c r="F62" s="129"/>
      <c r="G62" s="129"/>
      <c r="H62" s="129"/>
      <c r="I62" s="129"/>
      <c r="J62" s="129"/>
      <c r="K62" s="129"/>
    </row>
    <row r="63" spans="2:13" ht="15" customHeight="1" x14ac:dyDescent="0.2">
      <c r="B63" s="144"/>
      <c r="C63" s="8"/>
      <c r="D63" s="8"/>
      <c r="E63" s="8"/>
      <c r="F63" s="129"/>
      <c r="G63" s="129"/>
      <c r="H63" s="129"/>
      <c r="I63" s="129"/>
      <c r="J63" s="129"/>
      <c r="K63" s="129"/>
    </row>
    <row r="64" spans="2:13" ht="15" customHeight="1" x14ac:dyDescent="0.2">
      <c r="B64" s="144"/>
      <c r="C64" s="8"/>
      <c r="D64" s="8"/>
      <c r="E64" s="8"/>
      <c r="F64" s="129"/>
      <c r="G64" s="129"/>
      <c r="H64" s="129"/>
      <c r="I64" s="129"/>
      <c r="J64" s="129"/>
      <c r="K64" s="129"/>
    </row>
    <row r="65" spans="2:11" ht="15" customHeight="1" x14ac:dyDescent="0.2">
      <c r="B65" s="144"/>
      <c r="C65" s="8"/>
      <c r="D65" s="8"/>
      <c r="E65" s="8"/>
      <c r="F65" s="129"/>
      <c r="G65" s="129"/>
      <c r="H65" s="129"/>
      <c r="I65" s="129"/>
      <c r="J65" s="129"/>
      <c r="K65" s="129"/>
    </row>
    <row r="66" spans="2:11" ht="15" customHeight="1" x14ac:dyDescent="0.2">
      <c r="B66" s="144"/>
      <c r="C66" s="8"/>
      <c r="D66" s="8"/>
      <c r="E66" s="8"/>
      <c r="F66" s="129"/>
      <c r="G66" s="129"/>
      <c r="H66" s="129"/>
      <c r="I66" s="129"/>
      <c r="J66" s="129"/>
      <c r="K66" s="129"/>
    </row>
    <row r="67" spans="2:11" ht="15" customHeight="1" x14ac:dyDescent="0.2">
      <c r="B67" s="144"/>
      <c r="C67" s="8"/>
      <c r="D67" s="8"/>
      <c r="E67" s="8"/>
      <c r="F67" s="129"/>
      <c r="G67" s="129"/>
      <c r="H67" s="129"/>
      <c r="I67" s="129"/>
      <c r="J67" s="129"/>
      <c r="K67" s="129"/>
    </row>
    <row r="68" spans="2:11" ht="15" customHeight="1" x14ac:dyDescent="0.2">
      <c r="B68" s="144"/>
      <c r="C68" s="8"/>
      <c r="D68" s="8"/>
      <c r="E68" s="8"/>
      <c r="F68" s="129"/>
      <c r="G68" s="129"/>
      <c r="H68" s="129"/>
      <c r="I68" s="129"/>
      <c r="J68" s="129"/>
      <c r="K68" s="129"/>
    </row>
    <row r="69" spans="2:11" ht="15" customHeight="1" x14ac:dyDescent="0.2">
      <c r="B69" s="144"/>
      <c r="C69" s="8"/>
      <c r="D69" s="8"/>
      <c r="E69" s="8"/>
      <c r="F69" s="129"/>
      <c r="G69" s="129"/>
      <c r="H69" s="129"/>
      <c r="I69" s="129"/>
      <c r="J69" s="129"/>
      <c r="K69" s="129"/>
    </row>
    <row r="70" spans="2:11" ht="15" customHeight="1" x14ac:dyDescent="0.2">
      <c r="B70" s="144"/>
      <c r="C70" s="8"/>
      <c r="D70" s="8"/>
      <c r="E70" s="8"/>
      <c r="F70" s="129"/>
      <c r="G70" s="129"/>
      <c r="H70" s="129"/>
      <c r="I70" s="129"/>
      <c r="J70" s="129"/>
      <c r="K70" s="129"/>
    </row>
    <row r="71" spans="2:11" ht="15" customHeight="1" x14ac:dyDescent="0.2">
      <c r="B71" s="144"/>
      <c r="C71" s="8"/>
      <c r="D71" s="8"/>
      <c r="E71" s="8"/>
      <c r="F71" s="129"/>
      <c r="G71" s="129"/>
      <c r="H71" s="129"/>
      <c r="I71" s="129"/>
      <c r="J71" s="129"/>
      <c r="K71" s="129"/>
    </row>
    <row r="72" spans="2:11" ht="15" customHeight="1" x14ac:dyDescent="0.2">
      <c r="B72" s="144"/>
      <c r="C72" s="8"/>
      <c r="D72" s="8"/>
      <c r="E72" s="8"/>
      <c r="F72" s="129"/>
      <c r="G72" s="129"/>
      <c r="H72" s="129"/>
      <c r="I72" s="129"/>
      <c r="J72" s="129"/>
      <c r="K72" s="129"/>
    </row>
    <row r="73" spans="2:11" ht="15" customHeight="1" x14ac:dyDescent="0.2">
      <c r="B73" s="144"/>
      <c r="C73" s="8"/>
      <c r="D73" s="8"/>
      <c r="E73" s="8"/>
      <c r="F73" s="129"/>
      <c r="G73" s="129"/>
      <c r="H73" s="129"/>
      <c r="I73" s="129"/>
      <c r="J73" s="129"/>
      <c r="K73" s="129"/>
    </row>
    <row r="74" spans="2:11" ht="15" customHeight="1" x14ac:dyDescent="0.2">
      <c r="B74" s="144"/>
      <c r="C74" s="8"/>
      <c r="D74" s="8"/>
      <c r="E74" s="8"/>
      <c r="F74" s="129"/>
      <c r="G74" s="129"/>
      <c r="H74" s="129"/>
      <c r="I74" s="129"/>
      <c r="J74" s="129"/>
      <c r="K74" s="129"/>
    </row>
    <row r="75" spans="2:11" ht="15" customHeight="1" x14ac:dyDescent="0.2">
      <c r="B75" s="144"/>
      <c r="C75" s="8"/>
      <c r="D75" s="8"/>
      <c r="E75" s="8"/>
      <c r="F75" s="129"/>
      <c r="G75" s="129"/>
      <c r="H75" s="129"/>
      <c r="I75" s="129"/>
      <c r="J75" s="129"/>
      <c r="K75" s="129"/>
    </row>
    <row r="76" spans="2:11" ht="15" customHeight="1" x14ac:dyDescent="0.2">
      <c r="B76" s="144"/>
      <c r="C76" s="8"/>
      <c r="D76" s="8"/>
      <c r="E76" s="8"/>
      <c r="F76" s="129"/>
      <c r="G76" s="129"/>
      <c r="H76" s="129"/>
      <c r="I76" s="129"/>
      <c r="J76" s="129"/>
      <c r="K76" s="129"/>
    </row>
    <row r="77" spans="2:11" ht="15" customHeight="1" x14ac:dyDescent="0.2">
      <c r="B77" s="144"/>
      <c r="C77" s="8"/>
      <c r="D77" s="8"/>
      <c r="E77" s="8"/>
      <c r="F77" s="129"/>
      <c r="G77" s="129"/>
      <c r="H77" s="129"/>
      <c r="I77" s="129"/>
      <c r="J77" s="129"/>
      <c r="K77" s="129"/>
    </row>
    <row r="78" spans="2:11" ht="15" customHeight="1" x14ac:dyDescent="0.2">
      <c r="C78" s="8"/>
      <c r="D78" s="8"/>
      <c r="E78" s="8"/>
      <c r="F78" s="129"/>
      <c r="G78" s="129"/>
      <c r="H78" s="129"/>
      <c r="I78" s="129"/>
      <c r="J78" s="129"/>
      <c r="K78" s="129"/>
    </row>
    <row r="79" spans="2:11" ht="15" customHeight="1" x14ac:dyDescent="0.2">
      <c r="F79" s="129"/>
      <c r="G79" s="129"/>
      <c r="H79" s="129"/>
      <c r="I79" s="129"/>
      <c r="J79" s="129"/>
      <c r="K79" s="129"/>
    </row>
    <row r="80" spans="2:11" ht="15" customHeight="1" x14ac:dyDescent="0.2">
      <c r="F80" s="129"/>
      <c r="G80" s="129"/>
      <c r="H80" s="129"/>
      <c r="I80" s="129"/>
      <c r="J80" s="129"/>
      <c r="K80" s="129"/>
    </row>
    <row r="81" spans="6:11" ht="15" customHeight="1" x14ac:dyDescent="0.2">
      <c r="F81" s="129"/>
      <c r="G81" s="129"/>
      <c r="H81" s="129"/>
      <c r="I81" s="129"/>
      <c r="J81" s="129"/>
      <c r="K81" s="129"/>
    </row>
    <row r="82" spans="6:11" ht="15" customHeight="1" x14ac:dyDescent="0.2">
      <c r="F82" s="129"/>
      <c r="G82" s="129"/>
      <c r="H82" s="129"/>
      <c r="I82" s="129"/>
      <c r="J82" s="129"/>
      <c r="K82" s="129"/>
    </row>
    <row r="83" spans="6:11" ht="15" customHeight="1" x14ac:dyDescent="0.2">
      <c r="F83" s="129"/>
      <c r="G83" s="129"/>
      <c r="H83" s="129"/>
      <c r="I83" s="129"/>
      <c r="J83" s="129"/>
      <c r="K83" s="129"/>
    </row>
    <row r="84" spans="6:11" ht="15" customHeight="1" x14ac:dyDescent="0.2">
      <c r="F84" s="129"/>
      <c r="G84" s="129"/>
      <c r="H84" s="129"/>
      <c r="I84" s="129"/>
      <c r="J84" s="129"/>
      <c r="K84" s="129"/>
    </row>
    <row r="85" spans="6:11" ht="15" customHeight="1" x14ac:dyDescent="0.2">
      <c r="F85" s="129"/>
      <c r="G85" s="129"/>
      <c r="H85" s="129"/>
      <c r="I85" s="129"/>
      <c r="J85" s="129"/>
      <c r="K85" s="129"/>
    </row>
    <row r="86" spans="6:11" ht="15" customHeight="1" x14ac:dyDescent="0.2">
      <c r="F86" s="129"/>
      <c r="G86" s="129"/>
      <c r="H86" s="129"/>
      <c r="I86" s="129"/>
      <c r="J86" s="129"/>
      <c r="K86" s="129"/>
    </row>
    <row r="87" spans="6:11" ht="15" customHeight="1" x14ac:dyDescent="0.2">
      <c r="F87" s="129"/>
      <c r="G87" s="129"/>
      <c r="H87" s="129"/>
      <c r="I87" s="129"/>
      <c r="J87" s="129"/>
      <c r="K87" s="129"/>
    </row>
    <row r="88" spans="6:11" ht="15" customHeight="1" x14ac:dyDescent="0.2">
      <c r="F88" s="129"/>
      <c r="G88" s="129"/>
      <c r="H88" s="129"/>
      <c r="I88" s="129"/>
      <c r="J88" s="129"/>
      <c r="K88" s="129"/>
    </row>
    <row r="89" spans="6:11" ht="15" customHeight="1" x14ac:dyDescent="0.2">
      <c r="F89" s="129"/>
      <c r="G89" s="129"/>
      <c r="H89" s="129"/>
      <c r="I89" s="129"/>
      <c r="J89" s="129"/>
      <c r="K89" s="129"/>
    </row>
  </sheetData>
  <phoneticPr fontId="2" type="noConversion"/>
  <printOptions horizontalCentered="1" verticalCentered="1" headings="1"/>
  <pageMargins left="0.74803149606299213" right="0.74803149606299213" top="0.98425196850393704" bottom="0.98425196850393704" header="0.51181102362204722" footer="0.51181102362204722"/>
  <pageSetup paperSize="9" scale="67" orientation="landscape" blackAndWhite="1" verticalDpi="300" r:id="rId1"/>
  <headerFooter alignWithMargins="0">
    <oddHeader>&amp;L&amp;"宋体,常规"诚迅金融培训&amp;Rwww.chainshine.com</oddHeader>
    <oddFooter>第 &amp;P 页，共 &amp;N 页</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C40"/>
  <sheetViews>
    <sheetView workbookViewId="0">
      <pane xSplit="2" ySplit="5" topLeftCell="C6" activePane="bottomRight" state="frozen"/>
      <selection activeCell="A6" sqref="A6"/>
      <selection pane="topRight" activeCell="A6" sqref="A6"/>
      <selection pane="bottomLeft" activeCell="A6" sqref="A6"/>
      <selection pane="bottomRight" activeCell="C6" sqref="C6"/>
    </sheetView>
  </sheetViews>
  <sheetFormatPr defaultColWidth="0" defaultRowHeight="15" customHeight="1" x14ac:dyDescent="0.2"/>
  <cols>
    <col min="1" max="1" width="1.7109375" style="121" customWidth="1"/>
    <col min="2" max="2" width="27.7109375" style="121" customWidth="1"/>
    <col min="3" max="15" width="10.7109375" style="121" customWidth="1"/>
    <col min="16" max="16" width="1.7109375" style="121" customWidth="1"/>
    <col min="17" max="16384" width="0" style="121" hidden="1"/>
  </cols>
  <sheetData>
    <row r="1" spans="1:15" ht="24" customHeight="1" x14ac:dyDescent="0.3">
      <c r="A1" s="110" t="s">
        <v>77</v>
      </c>
      <c r="B1" s="120"/>
      <c r="C1" s="111"/>
      <c r="D1" s="111"/>
      <c r="E1" s="111"/>
      <c r="F1" s="111"/>
      <c r="G1" s="111"/>
      <c r="H1" s="111"/>
      <c r="I1" s="111"/>
      <c r="J1" s="111"/>
      <c r="K1" s="111"/>
      <c r="L1" s="111"/>
      <c r="M1" s="111"/>
      <c r="N1" s="111"/>
      <c r="O1" s="111"/>
    </row>
    <row r="2" spans="1:15" ht="2.1" customHeight="1" x14ac:dyDescent="0.2">
      <c r="A2" s="26"/>
      <c r="B2" s="147"/>
      <c r="C2" s="112"/>
      <c r="D2" s="112"/>
      <c r="E2" s="112"/>
      <c r="F2" s="112"/>
      <c r="G2" s="112"/>
      <c r="H2" s="112"/>
      <c r="I2" s="112"/>
      <c r="J2" s="112"/>
      <c r="K2" s="112"/>
      <c r="L2" s="112"/>
      <c r="M2" s="112"/>
      <c r="N2" s="112"/>
      <c r="O2" s="112"/>
    </row>
    <row r="3" spans="1:15" ht="18" customHeight="1" x14ac:dyDescent="0.25">
      <c r="A3" s="210" t="s">
        <v>250</v>
      </c>
      <c r="B3" s="172"/>
      <c r="C3" s="172"/>
      <c r="D3" s="173"/>
      <c r="E3" s="173"/>
      <c r="F3" s="173"/>
      <c r="G3" s="173"/>
      <c r="H3" s="173"/>
      <c r="I3" s="173"/>
      <c r="J3" s="173"/>
      <c r="K3" s="173"/>
      <c r="L3" s="173"/>
      <c r="M3" s="173"/>
      <c r="N3" s="173"/>
      <c r="O3" s="173"/>
    </row>
    <row r="4" spans="1:15" ht="2.1" customHeight="1" x14ac:dyDescent="0.2">
      <c r="A4" s="174"/>
      <c r="B4" s="175"/>
      <c r="C4" s="175"/>
      <c r="D4" s="176"/>
      <c r="E4" s="176"/>
      <c r="F4" s="176"/>
      <c r="G4" s="176"/>
      <c r="H4" s="176"/>
      <c r="I4" s="176"/>
      <c r="J4" s="176"/>
      <c r="K4" s="176"/>
      <c r="L4" s="176"/>
      <c r="M4" s="108" t="s">
        <v>93</v>
      </c>
      <c r="N4" s="108" t="s">
        <v>93</v>
      </c>
      <c r="O4" s="108" t="s">
        <v>93</v>
      </c>
    </row>
    <row r="5" spans="1:15" ht="15" customHeight="1" x14ac:dyDescent="0.2">
      <c r="A5" s="113" t="s">
        <v>94</v>
      </c>
      <c r="C5" s="114">
        <v>39082</v>
      </c>
      <c r="D5" s="114">
        <v>39447</v>
      </c>
      <c r="E5" s="114">
        <v>39813</v>
      </c>
      <c r="F5" s="115">
        <v>40178</v>
      </c>
      <c r="G5" s="115">
        <v>40543</v>
      </c>
      <c r="H5" s="115">
        <v>40908</v>
      </c>
      <c r="I5" s="115">
        <v>41274</v>
      </c>
      <c r="J5" s="115">
        <v>41639</v>
      </c>
      <c r="K5" s="115">
        <v>42004</v>
      </c>
      <c r="L5" s="115">
        <v>42369</v>
      </c>
      <c r="M5" s="115">
        <v>42735</v>
      </c>
      <c r="N5" s="115">
        <v>43100</v>
      </c>
      <c r="O5" s="115">
        <v>43465</v>
      </c>
    </row>
    <row r="6" spans="1:15" ht="15" customHeight="1" x14ac:dyDescent="0.2">
      <c r="A6" s="29"/>
      <c r="B6" s="29"/>
      <c r="C6" s="159"/>
      <c r="D6" s="159"/>
      <c r="E6" s="159"/>
      <c r="F6" s="159"/>
      <c r="G6" s="159"/>
      <c r="H6" s="159"/>
      <c r="I6" s="159"/>
      <c r="J6" s="159"/>
      <c r="K6" s="159"/>
      <c r="L6" s="159"/>
      <c r="M6" s="159"/>
      <c r="N6" s="159"/>
      <c r="O6" s="159"/>
    </row>
    <row r="7" spans="1:15" ht="15" customHeight="1" x14ac:dyDescent="0.2">
      <c r="A7" s="36" t="s">
        <v>106</v>
      </c>
      <c r="B7" s="147"/>
      <c r="C7" s="147"/>
      <c r="D7" s="147"/>
      <c r="E7" s="196"/>
      <c r="F7" s="147"/>
      <c r="G7" s="199"/>
      <c r="H7" s="147"/>
      <c r="I7" s="152"/>
      <c r="J7" s="152"/>
      <c r="K7" s="152"/>
      <c r="L7" s="152"/>
      <c r="M7" s="152"/>
      <c r="N7" s="152"/>
      <c r="O7" s="152"/>
    </row>
    <row r="8" spans="1:15" ht="15" customHeight="1" x14ac:dyDescent="0.2">
      <c r="B8" s="2" t="s">
        <v>202</v>
      </c>
      <c r="C8" s="8"/>
      <c r="D8" s="8"/>
      <c r="E8" s="8"/>
      <c r="F8" s="45">
        <v>107500</v>
      </c>
      <c r="G8" s="45">
        <v>0</v>
      </c>
      <c r="H8" s="45">
        <v>0</v>
      </c>
      <c r="I8" s="45">
        <v>0</v>
      </c>
      <c r="J8" s="45">
        <v>0</v>
      </c>
      <c r="K8" s="45">
        <v>0</v>
      </c>
      <c r="L8" s="45">
        <v>0</v>
      </c>
      <c r="M8" s="45">
        <v>0</v>
      </c>
      <c r="N8" s="45">
        <v>0</v>
      </c>
      <c r="O8" s="45">
        <v>0</v>
      </c>
    </row>
    <row r="9" spans="1:15" ht="15" customHeight="1" x14ac:dyDescent="0.2">
      <c r="B9" s="2" t="s">
        <v>203</v>
      </c>
      <c r="D9" s="43"/>
      <c r="E9" s="38"/>
      <c r="F9" s="46">
        <v>3.5000000000000001E-3</v>
      </c>
      <c r="G9" s="46">
        <v>4.1999999999999997E-3</v>
      </c>
      <c r="H9" s="46">
        <v>4.8999999999999998E-3</v>
      </c>
      <c r="I9" s="46">
        <v>5.5999999999999999E-3</v>
      </c>
      <c r="J9" s="46">
        <v>6.3E-3</v>
      </c>
      <c r="K9" s="46">
        <v>7.0000000000000001E-3</v>
      </c>
      <c r="L9" s="46">
        <v>7.7000000000000002E-3</v>
      </c>
      <c r="M9" s="46">
        <v>8.3999999999999995E-3</v>
      </c>
      <c r="N9" s="46">
        <v>9.1000000000000004E-3</v>
      </c>
      <c r="O9" s="46">
        <v>9.7999999999999997E-3</v>
      </c>
    </row>
    <row r="10" spans="1:15" ht="15" customHeight="1" x14ac:dyDescent="0.2">
      <c r="B10" s="2" t="s">
        <v>204</v>
      </c>
      <c r="C10" s="123"/>
      <c r="D10" s="123"/>
      <c r="E10" s="123"/>
      <c r="F10" s="45">
        <v>1900</v>
      </c>
      <c r="G10" s="45">
        <v>1820</v>
      </c>
      <c r="H10" s="45">
        <v>1740</v>
      </c>
      <c r="I10" s="45">
        <v>1660</v>
      </c>
      <c r="J10" s="45">
        <v>1580</v>
      </c>
      <c r="K10" s="45">
        <v>1500</v>
      </c>
      <c r="L10" s="45">
        <v>1420</v>
      </c>
      <c r="M10" s="45">
        <v>1340</v>
      </c>
      <c r="N10" s="45">
        <v>1260</v>
      </c>
      <c r="O10" s="45">
        <v>1180</v>
      </c>
    </row>
    <row r="11" spans="1:15" ht="15" customHeight="1" x14ac:dyDescent="0.2">
      <c r="C11" s="142"/>
      <c r="D11" s="142"/>
      <c r="E11" s="160"/>
    </row>
    <row r="12" spans="1:15" ht="15" customHeight="1" x14ac:dyDescent="0.2">
      <c r="A12" s="5" t="s">
        <v>71</v>
      </c>
      <c r="C12" s="142"/>
      <c r="D12" s="142"/>
      <c r="E12" s="160"/>
    </row>
    <row r="13" spans="1:15" ht="15" customHeight="1" x14ac:dyDescent="0.2">
      <c r="B13" s="2" t="s">
        <v>202</v>
      </c>
      <c r="C13" s="142"/>
      <c r="D13" s="142"/>
      <c r="E13" s="142"/>
      <c r="F13" s="129">
        <f>F8</f>
        <v>107500</v>
      </c>
      <c r="G13" s="129">
        <f t="shared" ref="G13:O13" si="0">G8</f>
        <v>0</v>
      </c>
      <c r="H13" s="129">
        <f t="shared" si="0"/>
        <v>0</v>
      </c>
      <c r="I13" s="129">
        <f t="shared" si="0"/>
        <v>0</v>
      </c>
      <c r="J13" s="129">
        <f t="shared" si="0"/>
        <v>0</v>
      </c>
      <c r="K13" s="129">
        <f t="shared" si="0"/>
        <v>0</v>
      </c>
      <c r="L13" s="129">
        <f t="shared" si="0"/>
        <v>0</v>
      </c>
      <c r="M13" s="129">
        <f t="shared" si="0"/>
        <v>0</v>
      </c>
      <c r="N13" s="129">
        <f t="shared" si="0"/>
        <v>0</v>
      </c>
      <c r="O13" s="129">
        <f t="shared" si="0"/>
        <v>0</v>
      </c>
    </row>
    <row r="14" spans="1:15" ht="15" customHeight="1" x14ac:dyDescent="0.2">
      <c r="B14" s="2" t="s">
        <v>205</v>
      </c>
      <c r="C14" s="142"/>
      <c r="D14" s="142"/>
      <c r="E14" s="142"/>
      <c r="F14" s="129">
        <f>'PP&amp;E'!F9*BS!E17</f>
        <v>141.75719563593</v>
      </c>
      <c r="G14" s="129">
        <f>'PP&amp;E'!G9*BS!F17</f>
        <v>605.18210738035339</v>
      </c>
      <c r="H14" s="129">
        <f>'PP&amp;E'!H9*BS!G17</f>
        <v>678.93609201304139</v>
      </c>
      <c r="I14" s="129">
        <f>'PP&amp;E'!I9*BS!H17</f>
        <v>745.66164916971059</v>
      </c>
      <c r="J14" s="129">
        <f>'PP&amp;E'!J9*BS!I17</f>
        <v>805.56574973835086</v>
      </c>
      <c r="K14" s="129">
        <f>'PP&amp;E'!K9*BS!J17</f>
        <v>858.83120593566377</v>
      </c>
      <c r="L14" s="129">
        <f>'PP&amp;E'!L9*BS!K17</f>
        <v>905.61811914868804</v>
      </c>
      <c r="M14" s="129">
        <f>'PP&amp;E'!M9*BS!L17</f>
        <v>946.06521360417048</v>
      </c>
      <c r="N14" s="129">
        <f>'PP&amp;E'!N9*BS!M17</f>
        <v>980.29106600811633</v>
      </c>
      <c r="O14" s="129">
        <f>'PP&amp;E'!O9*BS!N17</f>
        <v>1008.3952404892162</v>
      </c>
    </row>
    <row r="15" spans="1:15" s="6" customFormat="1" ht="15" customHeight="1" x14ac:dyDescent="0.2">
      <c r="B15" s="5" t="s">
        <v>71</v>
      </c>
      <c r="C15" s="40"/>
      <c r="D15" s="40"/>
      <c r="E15" s="40"/>
      <c r="F15" s="15">
        <f t="shared" ref="F15:O15" si="1">SUM(F13:F14)</f>
        <v>107641.75719563593</v>
      </c>
      <c r="G15" s="15">
        <f t="shared" si="1"/>
        <v>605.18210738035339</v>
      </c>
      <c r="H15" s="15">
        <f t="shared" si="1"/>
        <v>678.93609201304139</v>
      </c>
      <c r="I15" s="15">
        <f t="shared" si="1"/>
        <v>745.66164916971059</v>
      </c>
      <c r="J15" s="15">
        <f t="shared" si="1"/>
        <v>805.56574973835086</v>
      </c>
      <c r="K15" s="15">
        <f t="shared" si="1"/>
        <v>858.83120593566377</v>
      </c>
      <c r="L15" s="15">
        <f t="shared" si="1"/>
        <v>905.61811914868804</v>
      </c>
      <c r="M15" s="15">
        <f t="shared" si="1"/>
        <v>946.06521360417048</v>
      </c>
      <c r="N15" s="15">
        <f t="shared" si="1"/>
        <v>980.29106600811633</v>
      </c>
      <c r="O15" s="15">
        <f t="shared" si="1"/>
        <v>1008.3952404892162</v>
      </c>
    </row>
    <row r="16" spans="1:15" ht="15" customHeight="1" x14ac:dyDescent="0.2">
      <c r="C16" s="142"/>
      <c r="D16" s="142"/>
      <c r="E16" s="142"/>
    </row>
    <row r="17" spans="1:29" ht="15" customHeight="1" x14ac:dyDescent="0.2">
      <c r="A17" s="5" t="s">
        <v>108</v>
      </c>
      <c r="C17" s="8"/>
      <c r="D17" s="8"/>
      <c r="E17" s="8"/>
      <c r="F17" s="129"/>
      <c r="G17" s="129"/>
      <c r="H17" s="129"/>
      <c r="I17" s="129"/>
      <c r="J17" s="129"/>
      <c r="K17" s="129"/>
    </row>
    <row r="18" spans="1:29" ht="15" customHeight="1" x14ac:dyDescent="0.2">
      <c r="B18" s="1" t="s">
        <v>206</v>
      </c>
      <c r="C18" s="45">
        <v>25</v>
      </c>
      <c r="D18" s="8"/>
      <c r="E18" s="41" t="s">
        <v>272</v>
      </c>
      <c r="F18" s="229">
        <v>2009</v>
      </c>
      <c r="G18" s="229">
        <v>2010</v>
      </c>
      <c r="H18" s="229">
        <v>2011</v>
      </c>
      <c r="I18" s="229">
        <v>2012</v>
      </c>
      <c r="J18" s="229">
        <v>2013</v>
      </c>
      <c r="K18" s="229">
        <v>2014</v>
      </c>
      <c r="L18" s="229">
        <v>2015</v>
      </c>
      <c r="M18" s="229">
        <v>2016</v>
      </c>
      <c r="N18" s="229">
        <v>2017</v>
      </c>
      <c r="O18" s="229">
        <v>2018</v>
      </c>
      <c r="P18" s="161"/>
      <c r="Q18" s="161"/>
      <c r="R18" s="161"/>
      <c r="S18" s="161"/>
      <c r="T18" s="161"/>
      <c r="U18" s="161"/>
      <c r="V18" s="161"/>
      <c r="W18" s="161"/>
      <c r="X18" s="161"/>
      <c r="Y18" s="161"/>
      <c r="Z18" s="161"/>
      <c r="AA18" s="161"/>
      <c r="AB18" s="161"/>
      <c r="AC18" s="161"/>
    </row>
    <row r="19" spans="1:29" ht="15" customHeight="1" x14ac:dyDescent="0.2">
      <c r="B19" s="2" t="s">
        <v>207</v>
      </c>
      <c r="C19" s="46">
        <v>0</v>
      </c>
      <c r="E19" s="99" t="s">
        <v>208</v>
      </c>
      <c r="F19" s="157">
        <f>(1-$C$19)/$C$18</f>
        <v>0.04</v>
      </c>
      <c r="G19" s="157">
        <f t="shared" ref="G19:O19" si="2">(1-$C$19)/$C$18</f>
        <v>0.04</v>
      </c>
      <c r="H19" s="157">
        <f t="shared" si="2"/>
        <v>0.04</v>
      </c>
      <c r="I19" s="157">
        <f t="shared" si="2"/>
        <v>0.04</v>
      </c>
      <c r="J19" s="157">
        <f t="shared" si="2"/>
        <v>0.04</v>
      </c>
      <c r="K19" s="157">
        <f t="shared" si="2"/>
        <v>0.04</v>
      </c>
      <c r="L19" s="157">
        <f t="shared" si="2"/>
        <v>0.04</v>
      </c>
      <c r="M19" s="157">
        <f t="shared" si="2"/>
        <v>0.04</v>
      </c>
      <c r="N19" s="157">
        <f t="shared" si="2"/>
        <v>0.04</v>
      </c>
      <c r="O19" s="157">
        <f t="shared" si="2"/>
        <v>0.04</v>
      </c>
    </row>
    <row r="20" spans="1:29" ht="15" customHeight="1" x14ac:dyDescent="0.2">
      <c r="C20" s="1" t="s">
        <v>273</v>
      </c>
      <c r="D20" s="34" t="s">
        <v>71</v>
      </c>
      <c r="E20" s="129"/>
      <c r="F20" s="129"/>
      <c r="G20" s="129"/>
      <c r="H20" s="129"/>
      <c r="I20" s="129"/>
      <c r="J20" s="129"/>
      <c r="K20" s="129"/>
    </row>
    <row r="21" spans="1:29" ht="15" customHeight="1" x14ac:dyDescent="0.2">
      <c r="C21" s="229">
        <v>2009</v>
      </c>
      <c r="D21" s="129">
        <f t="array" ref="D21:D30">TRANSPOSE(F15:O15)</f>
        <v>107641.75719563593</v>
      </c>
      <c r="E21" s="129"/>
      <c r="F21" s="129">
        <f t="shared" ref="F21:O30" si="3">IF(AND($C21&lt;=F$18,$C21+$C$18&gt;=F$18),IF(OR($C21=F$18,$C21+$C$18=F$18),$D21*F$19/2,$D21*F$19),"")</f>
        <v>2152.8351439127186</v>
      </c>
      <c r="G21" s="129">
        <f t="shared" si="3"/>
        <v>4305.6702878254373</v>
      </c>
      <c r="H21" s="129">
        <f t="shared" si="3"/>
        <v>4305.6702878254373</v>
      </c>
      <c r="I21" s="129">
        <f t="shared" si="3"/>
        <v>4305.6702878254373</v>
      </c>
      <c r="J21" s="129">
        <f t="shared" si="3"/>
        <v>4305.6702878254373</v>
      </c>
      <c r="K21" s="129">
        <f t="shared" si="3"/>
        <v>4305.6702878254373</v>
      </c>
      <c r="L21" s="129">
        <f t="shared" si="3"/>
        <v>4305.6702878254373</v>
      </c>
      <c r="M21" s="129">
        <f t="shared" si="3"/>
        <v>4305.6702878254373</v>
      </c>
      <c r="N21" s="129">
        <f t="shared" si="3"/>
        <v>4305.6702878254373</v>
      </c>
      <c r="O21" s="129">
        <f t="shared" si="3"/>
        <v>4305.6702878254373</v>
      </c>
    </row>
    <row r="22" spans="1:29" ht="15" customHeight="1" x14ac:dyDescent="0.2">
      <c r="C22" s="229">
        <v>2010</v>
      </c>
      <c r="D22" s="129">
        <v>605.18210738035339</v>
      </c>
      <c r="E22" s="129"/>
      <c r="F22" s="129" t="str">
        <f t="shared" si="3"/>
        <v/>
      </c>
      <c r="G22" s="129">
        <f t="shared" si="3"/>
        <v>12.103642147607069</v>
      </c>
      <c r="H22" s="129">
        <f t="shared" si="3"/>
        <v>24.207284295214137</v>
      </c>
      <c r="I22" s="129">
        <f t="shared" si="3"/>
        <v>24.207284295214137</v>
      </c>
      <c r="J22" s="129">
        <f t="shared" si="3"/>
        <v>24.207284295214137</v>
      </c>
      <c r="K22" s="129">
        <f t="shared" si="3"/>
        <v>24.207284295214137</v>
      </c>
      <c r="L22" s="129">
        <f t="shared" si="3"/>
        <v>24.207284295214137</v>
      </c>
      <c r="M22" s="129">
        <f t="shared" si="3"/>
        <v>24.207284295214137</v>
      </c>
      <c r="N22" s="129">
        <f t="shared" si="3"/>
        <v>24.207284295214137</v>
      </c>
      <c r="O22" s="129">
        <f t="shared" si="3"/>
        <v>24.207284295214137</v>
      </c>
    </row>
    <row r="23" spans="1:29" ht="15" customHeight="1" x14ac:dyDescent="0.2">
      <c r="C23" s="229">
        <v>2011</v>
      </c>
      <c r="D23" s="129">
        <v>678.93609201304139</v>
      </c>
      <c r="E23" s="129"/>
      <c r="F23" s="129" t="str">
        <f t="shared" si="3"/>
        <v/>
      </c>
      <c r="G23" s="129" t="str">
        <f t="shared" si="3"/>
        <v/>
      </c>
      <c r="H23" s="129">
        <f t="shared" si="3"/>
        <v>13.578721840260828</v>
      </c>
      <c r="I23" s="129">
        <f t="shared" si="3"/>
        <v>27.157443680521656</v>
      </c>
      <c r="J23" s="129">
        <f t="shared" si="3"/>
        <v>27.157443680521656</v>
      </c>
      <c r="K23" s="129">
        <f t="shared" si="3"/>
        <v>27.157443680521656</v>
      </c>
      <c r="L23" s="129">
        <f t="shared" si="3"/>
        <v>27.157443680521656</v>
      </c>
      <c r="M23" s="129">
        <f t="shared" si="3"/>
        <v>27.157443680521656</v>
      </c>
      <c r="N23" s="129">
        <f t="shared" si="3"/>
        <v>27.157443680521656</v>
      </c>
      <c r="O23" s="129">
        <f t="shared" si="3"/>
        <v>27.157443680521656</v>
      </c>
    </row>
    <row r="24" spans="1:29" ht="15" customHeight="1" x14ac:dyDescent="0.2">
      <c r="C24" s="229">
        <v>2012</v>
      </c>
      <c r="D24" s="129">
        <v>745.66164916971059</v>
      </c>
      <c r="E24" s="129"/>
      <c r="F24" s="129" t="str">
        <f t="shared" si="3"/>
        <v/>
      </c>
      <c r="G24" s="129" t="str">
        <f t="shared" si="3"/>
        <v/>
      </c>
      <c r="H24" s="129" t="str">
        <f t="shared" si="3"/>
        <v/>
      </c>
      <c r="I24" s="129">
        <f t="shared" si="3"/>
        <v>14.913232983394211</v>
      </c>
      <c r="J24" s="129">
        <f t="shared" si="3"/>
        <v>29.826465966788422</v>
      </c>
      <c r="K24" s="129">
        <f t="shared" si="3"/>
        <v>29.826465966788422</v>
      </c>
      <c r="L24" s="129">
        <f t="shared" si="3"/>
        <v>29.826465966788422</v>
      </c>
      <c r="M24" s="129">
        <f t="shared" si="3"/>
        <v>29.826465966788422</v>
      </c>
      <c r="N24" s="129">
        <f t="shared" si="3"/>
        <v>29.826465966788422</v>
      </c>
      <c r="O24" s="129">
        <f t="shared" si="3"/>
        <v>29.826465966788422</v>
      </c>
    </row>
    <row r="25" spans="1:29" ht="15" customHeight="1" x14ac:dyDescent="0.2">
      <c r="C25" s="229">
        <v>2013</v>
      </c>
      <c r="D25" s="129">
        <v>805.56574973835086</v>
      </c>
      <c r="E25" s="129"/>
      <c r="F25" s="129" t="str">
        <f t="shared" si="3"/>
        <v/>
      </c>
      <c r="G25" s="129" t="str">
        <f t="shared" si="3"/>
        <v/>
      </c>
      <c r="H25" s="129" t="str">
        <f t="shared" si="3"/>
        <v/>
      </c>
      <c r="I25" s="129" t="str">
        <f t="shared" si="3"/>
        <v/>
      </c>
      <c r="J25" s="129">
        <f t="shared" si="3"/>
        <v>16.111314994767017</v>
      </c>
      <c r="K25" s="129">
        <f t="shared" si="3"/>
        <v>32.222629989534035</v>
      </c>
      <c r="L25" s="129">
        <f t="shared" si="3"/>
        <v>32.222629989534035</v>
      </c>
      <c r="M25" s="129">
        <f t="shared" si="3"/>
        <v>32.222629989534035</v>
      </c>
      <c r="N25" s="129">
        <f t="shared" si="3"/>
        <v>32.222629989534035</v>
      </c>
      <c r="O25" s="129">
        <f t="shared" si="3"/>
        <v>32.222629989534035</v>
      </c>
    </row>
    <row r="26" spans="1:29" ht="15" customHeight="1" x14ac:dyDescent="0.2">
      <c r="C26" s="229">
        <v>2014</v>
      </c>
      <c r="D26" s="129">
        <v>858.83120593566377</v>
      </c>
      <c r="E26" s="129"/>
      <c r="F26" s="129" t="str">
        <f t="shared" si="3"/>
        <v/>
      </c>
      <c r="G26" s="129" t="str">
        <f t="shared" si="3"/>
        <v/>
      </c>
      <c r="H26" s="129" t="str">
        <f t="shared" si="3"/>
        <v/>
      </c>
      <c r="I26" s="129" t="str">
        <f t="shared" si="3"/>
        <v/>
      </c>
      <c r="J26" s="129" t="str">
        <f t="shared" si="3"/>
        <v/>
      </c>
      <c r="K26" s="129">
        <f t="shared" si="3"/>
        <v>17.176624118713274</v>
      </c>
      <c r="L26" s="129">
        <f t="shared" si="3"/>
        <v>34.353248237426548</v>
      </c>
      <c r="M26" s="129">
        <f t="shared" si="3"/>
        <v>34.353248237426548</v>
      </c>
      <c r="N26" s="129">
        <f t="shared" si="3"/>
        <v>34.353248237426548</v>
      </c>
      <c r="O26" s="129">
        <f t="shared" si="3"/>
        <v>34.353248237426548</v>
      </c>
    </row>
    <row r="27" spans="1:29" ht="15" customHeight="1" x14ac:dyDescent="0.2">
      <c r="C27" s="229">
        <v>2015</v>
      </c>
      <c r="D27" s="129">
        <v>905.61811914868804</v>
      </c>
      <c r="E27" s="129"/>
      <c r="F27" s="129" t="str">
        <f t="shared" si="3"/>
        <v/>
      </c>
      <c r="G27" s="129" t="str">
        <f t="shared" si="3"/>
        <v/>
      </c>
      <c r="H27" s="129" t="str">
        <f t="shared" si="3"/>
        <v/>
      </c>
      <c r="I27" s="129" t="str">
        <f t="shared" si="3"/>
        <v/>
      </c>
      <c r="J27" s="129" t="str">
        <f t="shared" si="3"/>
        <v/>
      </c>
      <c r="K27" s="129" t="str">
        <f t="shared" si="3"/>
        <v/>
      </c>
      <c r="L27" s="129">
        <f t="shared" si="3"/>
        <v>18.11236238297376</v>
      </c>
      <c r="M27" s="129">
        <f t="shared" si="3"/>
        <v>36.224724765947521</v>
      </c>
      <c r="N27" s="129">
        <f t="shared" si="3"/>
        <v>36.224724765947521</v>
      </c>
      <c r="O27" s="129">
        <f t="shared" si="3"/>
        <v>36.224724765947521</v>
      </c>
    </row>
    <row r="28" spans="1:29" ht="15" customHeight="1" x14ac:dyDescent="0.2">
      <c r="C28" s="229">
        <v>2016</v>
      </c>
      <c r="D28" s="129">
        <v>946.06521360417048</v>
      </c>
      <c r="E28" s="129"/>
      <c r="F28" s="129" t="str">
        <f t="shared" si="3"/>
        <v/>
      </c>
      <c r="G28" s="129" t="str">
        <f t="shared" si="3"/>
        <v/>
      </c>
      <c r="H28" s="129" t="str">
        <f t="shared" si="3"/>
        <v/>
      </c>
      <c r="I28" s="129" t="str">
        <f t="shared" si="3"/>
        <v/>
      </c>
      <c r="J28" s="129" t="str">
        <f t="shared" si="3"/>
        <v/>
      </c>
      <c r="K28" s="129" t="str">
        <f t="shared" si="3"/>
        <v/>
      </c>
      <c r="L28" s="129" t="str">
        <f t="shared" si="3"/>
        <v/>
      </c>
      <c r="M28" s="129">
        <f t="shared" si="3"/>
        <v>18.921304272083411</v>
      </c>
      <c r="N28" s="129">
        <f t="shared" si="3"/>
        <v>37.842608544166822</v>
      </c>
      <c r="O28" s="129">
        <f t="shared" si="3"/>
        <v>37.842608544166822</v>
      </c>
    </row>
    <row r="29" spans="1:29" ht="15" customHeight="1" x14ac:dyDescent="0.2">
      <c r="C29" s="229">
        <v>2017</v>
      </c>
      <c r="D29" s="129">
        <v>980.29106600811633</v>
      </c>
      <c r="E29" s="129"/>
      <c r="F29" s="129" t="str">
        <f t="shared" si="3"/>
        <v/>
      </c>
      <c r="G29" s="129" t="str">
        <f t="shared" si="3"/>
        <v/>
      </c>
      <c r="H29" s="129" t="str">
        <f t="shared" si="3"/>
        <v/>
      </c>
      <c r="I29" s="129" t="str">
        <f t="shared" si="3"/>
        <v/>
      </c>
      <c r="J29" s="129" t="str">
        <f t="shared" si="3"/>
        <v/>
      </c>
      <c r="K29" s="129" t="str">
        <f t="shared" si="3"/>
        <v/>
      </c>
      <c r="L29" s="129" t="str">
        <f t="shared" si="3"/>
        <v/>
      </c>
      <c r="M29" s="129" t="str">
        <f t="shared" si="3"/>
        <v/>
      </c>
      <c r="N29" s="129">
        <f t="shared" si="3"/>
        <v>19.605821320162327</v>
      </c>
      <c r="O29" s="129">
        <f t="shared" si="3"/>
        <v>39.211642640324655</v>
      </c>
    </row>
    <row r="30" spans="1:29" ht="15" customHeight="1" x14ac:dyDescent="0.2">
      <c r="C30" s="229">
        <v>2018</v>
      </c>
      <c r="D30" s="129">
        <v>1008.3952404892162</v>
      </c>
      <c r="E30" s="129"/>
      <c r="F30" s="129" t="str">
        <f t="shared" si="3"/>
        <v/>
      </c>
      <c r="G30" s="129" t="str">
        <f t="shared" si="3"/>
        <v/>
      </c>
      <c r="H30" s="129" t="str">
        <f t="shared" si="3"/>
        <v/>
      </c>
      <c r="I30" s="129" t="str">
        <f t="shared" si="3"/>
        <v/>
      </c>
      <c r="J30" s="129" t="str">
        <f t="shared" si="3"/>
        <v/>
      </c>
      <c r="K30" s="129" t="str">
        <f t="shared" si="3"/>
        <v/>
      </c>
      <c r="L30" s="129" t="str">
        <f t="shared" si="3"/>
        <v/>
      </c>
      <c r="M30" s="129" t="str">
        <f t="shared" si="3"/>
        <v/>
      </c>
      <c r="N30" s="129" t="str">
        <f t="shared" si="3"/>
        <v/>
      </c>
      <c r="O30" s="129">
        <f t="shared" si="3"/>
        <v>20.167904809784325</v>
      </c>
    </row>
    <row r="31" spans="1:29" ht="15" customHeight="1" x14ac:dyDescent="0.2">
      <c r="B31" s="2" t="s">
        <v>209</v>
      </c>
      <c r="E31" s="129"/>
      <c r="F31" s="129">
        <f t="shared" ref="F31:O31" si="4">SUM(F21:F30)</f>
        <v>2152.8351439127186</v>
      </c>
      <c r="G31" s="129">
        <f t="shared" si="4"/>
        <v>4317.7739299730447</v>
      </c>
      <c r="H31" s="129">
        <f t="shared" si="4"/>
        <v>4343.4562939609123</v>
      </c>
      <c r="I31" s="129">
        <f t="shared" si="4"/>
        <v>4371.9482487845671</v>
      </c>
      <c r="J31" s="129">
        <f t="shared" si="4"/>
        <v>4402.9727967627277</v>
      </c>
      <c r="K31" s="129">
        <f t="shared" si="4"/>
        <v>4436.2607358762079</v>
      </c>
      <c r="L31" s="129">
        <f t="shared" si="4"/>
        <v>4471.5497223778948</v>
      </c>
      <c r="M31" s="129">
        <f t="shared" si="4"/>
        <v>4508.5833890329523</v>
      </c>
      <c r="N31" s="129">
        <f t="shared" si="4"/>
        <v>4547.1105146251984</v>
      </c>
      <c r="O31" s="129">
        <f t="shared" si="4"/>
        <v>4586.8842407551447</v>
      </c>
    </row>
    <row r="32" spans="1:29" ht="15" customHeight="1" x14ac:dyDescent="0.2">
      <c r="B32" s="2" t="s">
        <v>204</v>
      </c>
      <c r="D32" s="123"/>
      <c r="E32" s="123"/>
      <c r="F32" s="129">
        <f>'PP&amp;E'!F10</f>
        <v>1900</v>
      </c>
      <c r="G32" s="129">
        <f>'PP&amp;E'!G10</f>
        <v>1820</v>
      </c>
      <c r="H32" s="129">
        <f>'PP&amp;E'!H10</f>
        <v>1740</v>
      </c>
      <c r="I32" s="129">
        <f>'PP&amp;E'!I10</f>
        <v>1660</v>
      </c>
      <c r="J32" s="129">
        <f>'PP&amp;E'!J10</f>
        <v>1580</v>
      </c>
      <c r="K32" s="129">
        <f>'PP&amp;E'!K10</f>
        <v>1500</v>
      </c>
      <c r="L32" s="129">
        <f>'PP&amp;E'!L10</f>
        <v>1420</v>
      </c>
      <c r="M32" s="129">
        <f>'PP&amp;E'!M10</f>
        <v>1340</v>
      </c>
      <c r="N32" s="129">
        <f>'PP&amp;E'!N10</f>
        <v>1260</v>
      </c>
      <c r="O32" s="129">
        <f>'PP&amp;E'!O10</f>
        <v>1180</v>
      </c>
    </row>
    <row r="33" spans="1:15" ht="15" customHeight="1" x14ac:dyDescent="0.2">
      <c r="B33" s="5" t="s">
        <v>108</v>
      </c>
      <c r="E33" s="129"/>
      <c r="F33" s="15">
        <f t="shared" ref="F33:O33" si="5">SUM(F31:F32)</f>
        <v>4052.8351439127186</v>
      </c>
      <c r="G33" s="15">
        <f t="shared" si="5"/>
        <v>6137.7739299730447</v>
      </c>
      <c r="H33" s="15">
        <f t="shared" si="5"/>
        <v>6083.4562939609123</v>
      </c>
      <c r="I33" s="15">
        <f t="shared" si="5"/>
        <v>6031.9482487845671</v>
      </c>
      <c r="J33" s="15">
        <f t="shared" si="5"/>
        <v>5982.9727967627277</v>
      </c>
      <c r="K33" s="15">
        <f t="shared" si="5"/>
        <v>5936.2607358762079</v>
      </c>
      <c r="L33" s="15">
        <f t="shared" si="5"/>
        <v>5891.5497223778948</v>
      </c>
      <c r="M33" s="15">
        <f t="shared" si="5"/>
        <v>5848.5833890329523</v>
      </c>
      <c r="N33" s="15">
        <f t="shared" si="5"/>
        <v>5807.1105146251984</v>
      </c>
      <c r="O33" s="15">
        <f t="shared" si="5"/>
        <v>5766.8842407551447</v>
      </c>
    </row>
    <row r="34" spans="1:15" ht="15" customHeight="1" x14ac:dyDescent="0.2">
      <c r="F34" s="129"/>
      <c r="G34" s="129"/>
      <c r="H34" s="129"/>
      <c r="I34" s="129"/>
      <c r="J34" s="129"/>
      <c r="K34" s="129"/>
    </row>
    <row r="35" spans="1:15" ht="15" customHeight="1" x14ac:dyDescent="0.2">
      <c r="A35" s="4" t="s">
        <v>139</v>
      </c>
      <c r="B35" s="144"/>
      <c r="C35" s="123"/>
      <c r="D35" s="123"/>
      <c r="E35" s="123"/>
      <c r="F35" s="129"/>
      <c r="G35" s="129"/>
      <c r="H35" s="129"/>
      <c r="I35" s="129"/>
      <c r="J35" s="129"/>
      <c r="K35" s="129"/>
      <c r="L35" s="129"/>
      <c r="M35" s="129"/>
    </row>
    <row r="36" spans="1:15" ht="15" customHeight="1" x14ac:dyDescent="0.2">
      <c r="B36" s="1" t="s">
        <v>172</v>
      </c>
      <c r="C36" s="123"/>
      <c r="D36" s="123"/>
      <c r="E36" s="123"/>
      <c r="F36" s="123">
        <f t="shared" ref="F36:O36" si="6">E39</f>
        <v>40502.055895979996</v>
      </c>
      <c r="G36" s="123">
        <f t="shared" si="6"/>
        <v>144090.97794770318</v>
      </c>
      <c r="H36" s="123">
        <f t="shared" si="6"/>
        <v>138558.3861251105</v>
      </c>
      <c r="I36" s="123">
        <f t="shared" si="6"/>
        <v>133153.86592316261</v>
      </c>
      <c r="J36" s="123">
        <f t="shared" si="6"/>
        <v>127867.57932354776</v>
      </c>
      <c r="K36" s="123">
        <f t="shared" si="6"/>
        <v>122690.17227652339</v>
      </c>
      <c r="L36" s="123">
        <f t="shared" si="6"/>
        <v>117612.74274658285</v>
      </c>
      <c r="M36" s="123">
        <f t="shared" si="6"/>
        <v>112626.81114335364</v>
      </c>
      <c r="N36" s="123">
        <f t="shared" si="6"/>
        <v>107724.29296792486</v>
      </c>
      <c r="O36" s="123">
        <f t="shared" si="6"/>
        <v>102897.47351930778</v>
      </c>
    </row>
    <row r="37" spans="1:15" ht="15" customHeight="1" x14ac:dyDescent="0.2">
      <c r="B37" s="2" t="s">
        <v>71</v>
      </c>
      <c r="D37" s="123"/>
      <c r="E37" s="123"/>
      <c r="F37" s="123">
        <f t="shared" ref="F37:O37" si="7">F15</f>
        <v>107641.75719563593</v>
      </c>
      <c r="G37" s="123">
        <f t="shared" si="7"/>
        <v>605.18210738035339</v>
      </c>
      <c r="H37" s="123">
        <f t="shared" si="7"/>
        <v>678.93609201304139</v>
      </c>
      <c r="I37" s="123">
        <f t="shared" si="7"/>
        <v>745.66164916971059</v>
      </c>
      <c r="J37" s="123">
        <f t="shared" si="7"/>
        <v>805.56574973835086</v>
      </c>
      <c r="K37" s="123">
        <f t="shared" si="7"/>
        <v>858.83120593566377</v>
      </c>
      <c r="L37" s="123">
        <f t="shared" si="7"/>
        <v>905.61811914868804</v>
      </c>
      <c r="M37" s="123">
        <f t="shared" si="7"/>
        <v>946.06521360417048</v>
      </c>
      <c r="N37" s="123">
        <f t="shared" si="7"/>
        <v>980.29106600811633</v>
      </c>
      <c r="O37" s="123">
        <f t="shared" si="7"/>
        <v>1008.3952404892162</v>
      </c>
    </row>
    <row r="38" spans="1:15" ht="15" customHeight="1" x14ac:dyDescent="0.2">
      <c r="B38" s="2" t="s">
        <v>108</v>
      </c>
      <c r="D38" s="123"/>
      <c r="E38" s="123"/>
      <c r="F38" s="123">
        <f>F33</f>
        <v>4052.8351439127186</v>
      </c>
      <c r="G38" s="123">
        <f t="shared" ref="G38:O38" si="8">G33</f>
        <v>6137.7739299730447</v>
      </c>
      <c r="H38" s="123">
        <f t="shared" si="8"/>
        <v>6083.4562939609123</v>
      </c>
      <c r="I38" s="123">
        <f t="shared" si="8"/>
        <v>6031.9482487845671</v>
      </c>
      <c r="J38" s="123">
        <f t="shared" si="8"/>
        <v>5982.9727967627277</v>
      </c>
      <c r="K38" s="123">
        <f t="shared" si="8"/>
        <v>5936.2607358762079</v>
      </c>
      <c r="L38" s="123">
        <f t="shared" si="8"/>
        <v>5891.5497223778948</v>
      </c>
      <c r="M38" s="123">
        <f t="shared" si="8"/>
        <v>5848.5833890329523</v>
      </c>
      <c r="N38" s="123">
        <f t="shared" si="8"/>
        <v>5807.1105146251984</v>
      </c>
      <c r="O38" s="123">
        <f t="shared" si="8"/>
        <v>5766.8842407551447</v>
      </c>
    </row>
    <row r="39" spans="1:15" ht="15" customHeight="1" x14ac:dyDescent="0.2">
      <c r="B39" s="1" t="s">
        <v>173</v>
      </c>
      <c r="C39" s="123"/>
      <c r="D39" s="123"/>
      <c r="E39" s="123">
        <f>BS!E17</f>
        <v>40502.055895979996</v>
      </c>
      <c r="F39" s="129">
        <f>F36+F37-F38</f>
        <v>144090.97794770318</v>
      </c>
      <c r="G39" s="129">
        <f t="shared" ref="G39:O39" si="9">G36+G37-G38</f>
        <v>138558.3861251105</v>
      </c>
      <c r="H39" s="129">
        <f t="shared" si="9"/>
        <v>133153.86592316261</v>
      </c>
      <c r="I39" s="129">
        <f t="shared" si="9"/>
        <v>127867.57932354776</v>
      </c>
      <c r="J39" s="129">
        <f t="shared" si="9"/>
        <v>122690.17227652339</v>
      </c>
      <c r="K39" s="129">
        <f t="shared" si="9"/>
        <v>117612.74274658285</v>
      </c>
      <c r="L39" s="129">
        <f t="shared" si="9"/>
        <v>112626.81114335364</v>
      </c>
      <c r="M39" s="129">
        <f t="shared" si="9"/>
        <v>107724.29296792486</v>
      </c>
      <c r="N39" s="129">
        <f t="shared" si="9"/>
        <v>102897.47351930778</v>
      </c>
      <c r="O39" s="129">
        <f t="shared" si="9"/>
        <v>98138.984519041856</v>
      </c>
    </row>
    <row r="40" spans="1:15" ht="15" customHeight="1" x14ac:dyDescent="0.2">
      <c r="B40" s="144"/>
      <c r="C40" s="123"/>
      <c r="D40" s="123"/>
      <c r="E40" s="123"/>
      <c r="F40" s="129"/>
      <c r="G40" s="129"/>
      <c r="H40" s="129"/>
      <c r="I40" s="129"/>
      <c r="J40" s="129"/>
      <c r="K40" s="129"/>
      <c r="L40" s="129"/>
      <c r="M40" s="129"/>
      <c r="N40" s="129"/>
      <c r="O40" s="129"/>
    </row>
  </sheetData>
  <phoneticPr fontId="2" type="noConversion"/>
  <printOptions horizontalCentered="1" verticalCentered="1" headings="1"/>
  <pageMargins left="0.74803149606299213" right="0.74803149606299213" top="0.98425196850393704" bottom="0.98425196850393704" header="0.51181102362204722" footer="0.51181102362204722"/>
  <pageSetup paperSize="9" scale="68" orientation="landscape" blackAndWhite="1" verticalDpi="1200" r:id="rId1"/>
  <headerFooter alignWithMargins="0">
    <oddHeader>&amp;L&amp;"宋体,常规"诚迅金融培训&amp;Rwww.chainshine.com</oddHeader>
    <oddFooter>第 &amp;P 页，共 &amp;N 页</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54"/>
  <sheetViews>
    <sheetView zoomScaleNormal="100" workbookViewId="0">
      <pane xSplit="2" ySplit="5" topLeftCell="C6" activePane="bottomRight" state="frozen"/>
      <selection activeCell="A6" sqref="A6"/>
      <selection pane="topRight" activeCell="A6" sqref="A6"/>
      <selection pane="bottomLeft" activeCell="A6" sqref="A6"/>
      <selection pane="bottomRight" activeCell="C6" sqref="C6"/>
    </sheetView>
  </sheetViews>
  <sheetFormatPr defaultColWidth="0" defaultRowHeight="15" customHeight="1" x14ac:dyDescent="0.2"/>
  <cols>
    <col min="1" max="1" width="1.7109375" style="121" customWidth="1"/>
    <col min="2" max="2" width="27.7109375" style="121" customWidth="1"/>
    <col min="3" max="15" width="10.7109375" style="121" customWidth="1"/>
    <col min="16" max="16" width="1.7109375" style="121" customWidth="1"/>
    <col min="17" max="16384" width="0" style="121" hidden="1"/>
  </cols>
  <sheetData>
    <row r="1" spans="1:15" ht="24" customHeight="1" x14ac:dyDescent="0.3">
      <c r="A1" s="110" t="s">
        <v>77</v>
      </c>
      <c r="B1" s="120"/>
      <c r="C1" s="111"/>
      <c r="D1" s="111"/>
      <c r="E1" s="111"/>
      <c r="F1" s="111"/>
      <c r="G1" s="111"/>
      <c r="H1" s="111"/>
      <c r="I1" s="111"/>
      <c r="J1" s="111"/>
      <c r="K1" s="111"/>
      <c r="L1" s="111"/>
      <c r="M1" s="111"/>
      <c r="N1" s="111"/>
      <c r="O1" s="111"/>
    </row>
    <row r="2" spans="1:15" ht="2.1" customHeight="1" x14ac:dyDescent="0.2">
      <c r="A2" s="26"/>
      <c r="B2" s="147"/>
      <c r="C2" s="112"/>
      <c r="D2" s="112"/>
      <c r="E2" s="112"/>
      <c r="F2" s="112"/>
      <c r="G2" s="112"/>
      <c r="H2" s="112"/>
      <c r="I2" s="112"/>
      <c r="J2" s="112"/>
      <c r="K2" s="112"/>
      <c r="L2" s="112"/>
      <c r="M2" s="112"/>
      <c r="N2" s="112"/>
      <c r="O2" s="112"/>
    </row>
    <row r="3" spans="1:15" ht="18" customHeight="1" x14ac:dyDescent="0.25">
      <c r="A3" s="210" t="s">
        <v>78</v>
      </c>
      <c r="B3" s="172"/>
      <c r="C3" s="172"/>
      <c r="D3" s="173"/>
      <c r="E3" s="173"/>
      <c r="F3" s="173"/>
      <c r="G3" s="173"/>
      <c r="H3" s="173"/>
      <c r="I3" s="173"/>
      <c r="J3" s="173"/>
      <c r="K3" s="173"/>
      <c r="L3" s="173"/>
      <c r="M3" s="173"/>
      <c r="N3" s="173"/>
      <c r="O3" s="173"/>
    </row>
    <row r="4" spans="1:15" ht="2.1" customHeight="1" x14ac:dyDescent="0.2">
      <c r="A4" s="174"/>
      <c r="B4" s="175"/>
      <c r="C4" s="175"/>
      <c r="D4" s="176"/>
      <c r="E4" s="176"/>
      <c r="F4" s="176"/>
      <c r="G4" s="176"/>
      <c r="H4" s="176"/>
      <c r="I4" s="176"/>
      <c r="J4" s="176"/>
      <c r="K4" s="176"/>
      <c r="L4" s="176"/>
      <c r="M4" s="108" t="s">
        <v>93</v>
      </c>
      <c r="N4" s="108" t="s">
        <v>93</v>
      </c>
      <c r="O4" s="108" t="s">
        <v>93</v>
      </c>
    </row>
    <row r="5" spans="1:15" ht="15" customHeight="1" x14ac:dyDescent="0.2">
      <c r="A5" s="113" t="s">
        <v>94</v>
      </c>
      <c r="C5" s="114">
        <v>39082</v>
      </c>
      <c r="D5" s="114">
        <v>39447</v>
      </c>
      <c r="E5" s="114">
        <v>39813</v>
      </c>
      <c r="F5" s="115">
        <v>40178</v>
      </c>
      <c r="G5" s="115">
        <v>40543</v>
      </c>
      <c r="H5" s="115">
        <v>40908</v>
      </c>
      <c r="I5" s="115">
        <v>41274</v>
      </c>
      <c r="J5" s="115">
        <v>41639</v>
      </c>
      <c r="K5" s="115">
        <v>42004</v>
      </c>
      <c r="L5" s="115">
        <v>42369</v>
      </c>
      <c r="M5" s="115">
        <v>42735</v>
      </c>
      <c r="N5" s="115">
        <v>43100</v>
      </c>
      <c r="O5" s="115">
        <v>43465</v>
      </c>
    </row>
    <row r="6" spans="1:15" ht="15" customHeight="1" x14ac:dyDescent="0.2">
      <c r="A6" s="29"/>
      <c r="B6" s="141"/>
      <c r="C6" s="159"/>
      <c r="D6" s="159"/>
      <c r="E6" s="159"/>
      <c r="F6" s="159"/>
      <c r="G6" s="159"/>
      <c r="H6" s="159"/>
      <c r="I6" s="159"/>
      <c r="J6" s="159"/>
      <c r="K6" s="159"/>
      <c r="L6" s="159"/>
      <c r="M6" s="159"/>
      <c r="N6" s="159"/>
      <c r="O6" s="159"/>
    </row>
    <row r="7" spans="1:15" ht="15" customHeight="1" x14ac:dyDescent="0.2">
      <c r="A7" s="5" t="s">
        <v>106</v>
      </c>
      <c r="D7" s="8"/>
      <c r="E7" s="8"/>
      <c r="F7" s="8"/>
      <c r="G7" s="8"/>
      <c r="H7" s="8"/>
      <c r="I7" s="8"/>
      <c r="J7" s="8"/>
      <c r="K7" s="8"/>
      <c r="L7" s="8"/>
      <c r="M7" s="8"/>
      <c r="N7" s="8"/>
      <c r="O7" s="8"/>
    </row>
    <row r="8" spans="1:15" s="147" customFormat="1" ht="15" customHeight="1" x14ac:dyDescent="0.2">
      <c r="B8" s="13" t="s">
        <v>175</v>
      </c>
      <c r="C8" s="195"/>
      <c r="D8" s="152">
        <f>BS!D23-BS!C23</f>
        <v>2371.0484043299984</v>
      </c>
      <c r="E8" s="152">
        <f>BS!E23-BS!D23</f>
        <v>-2521.0055427099987</v>
      </c>
      <c r="F8" s="45">
        <v>17500</v>
      </c>
      <c r="G8" s="45">
        <v>-17500</v>
      </c>
      <c r="H8" s="45">
        <v>0</v>
      </c>
      <c r="I8" s="45">
        <v>0</v>
      </c>
      <c r="J8" s="45">
        <v>0</v>
      </c>
      <c r="K8" s="45">
        <v>0</v>
      </c>
      <c r="L8" s="45">
        <v>0</v>
      </c>
      <c r="M8" s="45">
        <v>0</v>
      </c>
      <c r="N8" s="45">
        <v>0</v>
      </c>
      <c r="O8" s="45">
        <v>0</v>
      </c>
    </row>
    <row r="9" spans="1:15" s="147" customFormat="1" ht="15" customHeight="1" x14ac:dyDescent="0.2">
      <c r="B9" s="10" t="s">
        <v>176</v>
      </c>
      <c r="C9" s="191"/>
      <c r="D9" s="191"/>
      <c r="E9" s="191"/>
      <c r="F9" s="46">
        <v>4.9000000000000002E-2</v>
      </c>
      <c r="G9" s="46">
        <v>4.9000000000000002E-2</v>
      </c>
      <c r="H9" s="46">
        <v>4.9000000000000002E-2</v>
      </c>
      <c r="I9" s="46">
        <v>4.9000000000000002E-2</v>
      </c>
      <c r="J9" s="46">
        <v>4.9000000000000002E-2</v>
      </c>
      <c r="K9" s="46">
        <v>4.9000000000000002E-2</v>
      </c>
      <c r="L9" s="46">
        <v>4.9000000000000002E-2</v>
      </c>
      <c r="M9" s="46">
        <v>4.9000000000000002E-2</v>
      </c>
      <c r="N9" s="46">
        <v>4.9000000000000002E-2</v>
      </c>
      <c r="O9" s="46">
        <v>4.9000000000000002E-2</v>
      </c>
    </row>
    <row r="10" spans="1:15" s="147" customFormat="1" ht="15" customHeight="1" x14ac:dyDescent="0.2">
      <c r="B10" s="13" t="s">
        <v>177</v>
      </c>
      <c r="C10" s="195"/>
      <c r="D10" s="195">
        <f>BS!D28-BS!C28</f>
        <v>-1700</v>
      </c>
      <c r="E10" s="195">
        <f>BS!E28-BS!D28</f>
        <v>0</v>
      </c>
      <c r="F10" s="45">
        <v>42000</v>
      </c>
      <c r="G10" s="45">
        <v>11000</v>
      </c>
      <c r="H10" s="45">
        <v>0</v>
      </c>
      <c r="I10" s="45">
        <v>0</v>
      </c>
      <c r="J10" s="45">
        <v>0</v>
      </c>
      <c r="K10" s="45">
        <v>0</v>
      </c>
      <c r="L10" s="45">
        <v>0</v>
      </c>
      <c r="M10" s="45">
        <v>0</v>
      </c>
      <c r="N10" s="45">
        <v>0</v>
      </c>
      <c r="O10" s="45">
        <v>0</v>
      </c>
    </row>
    <row r="11" spans="1:15" s="147" customFormat="1" ht="15" customHeight="1" x14ac:dyDescent="0.2">
      <c r="B11" s="10" t="s">
        <v>178</v>
      </c>
      <c r="C11" s="191"/>
      <c r="D11" s="191"/>
      <c r="E11" s="191"/>
      <c r="F11" s="46">
        <v>5.3460000000000001E-2</v>
      </c>
      <c r="G11" s="46">
        <v>5.3460000000000001E-2</v>
      </c>
      <c r="H11" s="46">
        <v>5.3460000000000001E-2</v>
      </c>
      <c r="I11" s="46">
        <v>5.3460000000000001E-2</v>
      </c>
      <c r="J11" s="46">
        <v>5.3460000000000001E-2</v>
      </c>
      <c r="K11" s="46">
        <v>5.3460000000000001E-2</v>
      </c>
      <c r="L11" s="46">
        <v>5.3460000000000001E-2</v>
      </c>
      <c r="M11" s="46">
        <v>5.3460000000000001E-2</v>
      </c>
      <c r="N11" s="46">
        <v>5.3460000000000001E-2</v>
      </c>
      <c r="O11" s="46">
        <v>5.3460000000000001E-2</v>
      </c>
    </row>
    <row r="12" spans="1:15" s="155" customFormat="1" ht="15" customHeight="1" x14ac:dyDescent="0.2">
      <c r="B12" s="50" t="s">
        <v>179</v>
      </c>
      <c r="C12" s="197"/>
      <c r="D12" s="152">
        <f>BS!D29-BS!C29</f>
        <v>3950.6178333400003</v>
      </c>
      <c r="E12" s="197">
        <f>BS!E29-BS!D29</f>
        <v>5.1084999999998217</v>
      </c>
      <c r="F12" s="45">
        <v>20000</v>
      </c>
      <c r="G12" s="45">
        <v>-3000</v>
      </c>
      <c r="H12" s="45">
        <v>-2000</v>
      </c>
      <c r="I12" s="45">
        <v>0</v>
      </c>
      <c r="J12" s="45">
        <v>0</v>
      </c>
      <c r="K12" s="45">
        <v>0</v>
      </c>
      <c r="L12" s="45">
        <v>0</v>
      </c>
      <c r="M12" s="45">
        <v>-3000</v>
      </c>
      <c r="N12" s="45">
        <v>-3955.7263333400001</v>
      </c>
      <c r="O12" s="45">
        <v>0</v>
      </c>
    </row>
    <row r="13" spans="1:15" s="147" customFormat="1" ht="15" customHeight="1" x14ac:dyDescent="0.2">
      <c r="B13" s="10" t="s">
        <v>180</v>
      </c>
      <c r="C13" s="191"/>
      <c r="D13" s="191"/>
      <c r="E13" s="191"/>
      <c r="F13" s="46">
        <v>4.8099999999999997E-2</v>
      </c>
      <c r="G13" s="46">
        <v>4.8099999999999997E-2</v>
      </c>
      <c r="H13" s="46">
        <v>4.8099999999999997E-2</v>
      </c>
      <c r="I13" s="46">
        <v>4.8099999999999997E-2</v>
      </c>
      <c r="J13" s="46">
        <v>4.8099999999999997E-2</v>
      </c>
      <c r="K13" s="46">
        <v>4.8099999999999997E-2</v>
      </c>
      <c r="L13" s="46">
        <v>4.8099999999999997E-2</v>
      </c>
      <c r="M13" s="46">
        <v>4.8099999999999997E-2</v>
      </c>
      <c r="N13" s="46">
        <v>4.8099999999999997E-2</v>
      </c>
      <c r="O13" s="46">
        <v>4.8099999999999997E-2</v>
      </c>
    </row>
    <row r="14" spans="1:15" s="147" customFormat="1" ht="15" customHeight="1" x14ac:dyDescent="0.2">
      <c r="B14" s="10" t="s">
        <v>181</v>
      </c>
      <c r="C14" s="191"/>
      <c r="D14" s="191"/>
      <c r="E14" s="191"/>
      <c r="F14" s="46">
        <v>1.17E-2</v>
      </c>
      <c r="G14" s="46">
        <v>1.17E-2</v>
      </c>
      <c r="H14" s="46">
        <v>1.17E-2</v>
      </c>
      <c r="I14" s="46">
        <v>1.17E-2</v>
      </c>
      <c r="J14" s="46">
        <v>1.17E-2</v>
      </c>
      <c r="K14" s="46">
        <v>1.17E-2</v>
      </c>
      <c r="L14" s="46">
        <v>1.17E-2</v>
      </c>
      <c r="M14" s="46">
        <v>1.17E-2</v>
      </c>
      <c r="N14" s="46">
        <v>1.17E-2</v>
      </c>
      <c r="O14" s="46">
        <v>1.17E-2</v>
      </c>
    </row>
    <row r="15" spans="1:15" s="147" customFormat="1" ht="15" customHeight="1" x14ac:dyDescent="0.2">
      <c r="B15" s="13" t="s">
        <v>182</v>
      </c>
      <c r="C15" s="195"/>
      <c r="D15" s="195">
        <f>IS!D51-IS!C51</f>
        <v>0</v>
      </c>
      <c r="E15" s="195">
        <f>IS!E51-IS!D51</f>
        <v>0</v>
      </c>
      <c r="F15" s="45">
        <v>1551.590380139643</v>
      </c>
      <c r="G15" s="45">
        <v>0</v>
      </c>
      <c r="H15" s="45">
        <v>0</v>
      </c>
      <c r="I15" s="45">
        <v>0</v>
      </c>
      <c r="J15" s="45">
        <v>0</v>
      </c>
      <c r="K15" s="45">
        <v>0</v>
      </c>
      <c r="L15" s="45">
        <v>0</v>
      </c>
      <c r="M15" s="45">
        <v>0</v>
      </c>
      <c r="N15" s="45">
        <v>0</v>
      </c>
      <c r="O15" s="45">
        <v>0</v>
      </c>
    </row>
    <row r="16" spans="1:15" s="147" customFormat="1" ht="15" customHeight="1" x14ac:dyDescent="0.2">
      <c r="B16" s="13" t="s">
        <v>183</v>
      </c>
      <c r="C16" s="195"/>
      <c r="D16" s="195"/>
      <c r="E16" s="195"/>
      <c r="F16" s="47">
        <v>12.89</v>
      </c>
      <c r="G16" s="47">
        <v>0</v>
      </c>
      <c r="H16" s="47">
        <v>0</v>
      </c>
      <c r="I16" s="47">
        <v>0</v>
      </c>
      <c r="J16" s="47">
        <v>0</v>
      </c>
      <c r="K16" s="47">
        <v>0</v>
      </c>
      <c r="L16" s="47">
        <v>0</v>
      </c>
      <c r="M16" s="47">
        <v>0</v>
      </c>
      <c r="N16" s="47">
        <v>0</v>
      </c>
      <c r="O16" s="47">
        <v>0</v>
      </c>
    </row>
    <row r="17" spans="1:15" ht="15" customHeight="1" x14ac:dyDescent="0.2">
      <c r="A17" s="29"/>
      <c r="B17" s="141"/>
      <c r="C17" s="142"/>
      <c r="D17" s="142"/>
      <c r="E17" s="142"/>
      <c r="F17" s="129"/>
      <c r="G17" s="129"/>
      <c r="H17" s="129"/>
      <c r="I17" s="129"/>
      <c r="J17" s="129"/>
      <c r="K17" s="129"/>
      <c r="L17" s="129"/>
      <c r="M17" s="129"/>
      <c r="N17" s="129"/>
      <c r="O17" s="129"/>
    </row>
    <row r="18" spans="1:15" ht="15" customHeight="1" x14ac:dyDescent="0.2">
      <c r="A18" s="5" t="s">
        <v>184</v>
      </c>
      <c r="F18" s="157"/>
      <c r="G18" s="157"/>
      <c r="H18" s="157"/>
      <c r="I18" s="157"/>
      <c r="J18" s="157"/>
      <c r="K18" s="157"/>
      <c r="L18" s="157"/>
      <c r="M18" s="157"/>
      <c r="N18" s="157"/>
      <c r="O18" s="157"/>
    </row>
    <row r="19" spans="1:15" ht="15" customHeight="1" x14ac:dyDescent="0.2">
      <c r="B19" s="2" t="s">
        <v>142</v>
      </c>
      <c r="C19" s="129"/>
      <c r="D19" s="129"/>
      <c r="E19" s="129">
        <f>BS!E22</f>
        <v>0</v>
      </c>
      <c r="F19" s="129">
        <f ca="1">BS!F22</f>
        <v>0</v>
      </c>
      <c r="G19" s="129">
        <f ca="1">BS!G22</f>
        <v>0</v>
      </c>
      <c r="H19" s="129">
        <f ca="1">BS!H22</f>
        <v>0</v>
      </c>
      <c r="I19" s="129">
        <f ca="1">BS!I22</f>
        <v>0</v>
      </c>
      <c r="J19" s="129">
        <f ca="1">BS!J22</f>
        <v>0</v>
      </c>
      <c r="K19" s="129">
        <f ca="1">BS!K22</f>
        <v>0</v>
      </c>
      <c r="L19" s="129">
        <f ca="1">BS!L22</f>
        <v>0</v>
      </c>
      <c r="M19" s="129">
        <f ca="1">BS!M22</f>
        <v>0</v>
      </c>
      <c r="N19" s="129">
        <f ca="1">BS!N22</f>
        <v>0</v>
      </c>
      <c r="O19" s="129">
        <f ca="1">BS!O22</f>
        <v>0</v>
      </c>
    </row>
    <row r="20" spans="1:15" ht="15" customHeight="1" x14ac:dyDescent="0.2">
      <c r="B20" s="2" t="s">
        <v>185</v>
      </c>
      <c r="C20" s="129"/>
      <c r="D20" s="129"/>
      <c r="E20" s="9"/>
      <c r="F20" s="157">
        <f>Financing!F9</f>
        <v>4.9000000000000002E-2</v>
      </c>
      <c r="G20" s="157">
        <f>Financing!G9</f>
        <v>4.9000000000000002E-2</v>
      </c>
      <c r="H20" s="157">
        <f>Financing!H9</f>
        <v>4.9000000000000002E-2</v>
      </c>
      <c r="I20" s="157">
        <f>Financing!I9</f>
        <v>4.9000000000000002E-2</v>
      </c>
      <c r="J20" s="157">
        <f>Financing!J9</f>
        <v>4.9000000000000002E-2</v>
      </c>
      <c r="K20" s="157">
        <f>Financing!K9</f>
        <v>4.9000000000000002E-2</v>
      </c>
      <c r="L20" s="157">
        <f>Financing!L9</f>
        <v>4.9000000000000002E-2</v>
      </c>
      <c r="M20" s="157">
        <f>Financing!M9</f>
        <v>4.9000000000000002E-2</v>
      </c>
      <c r="N20" s="157">
        <f>Financing!N9</f>
        <v>4.9000000000000002E-2</v>
      </c>
      <c r="O20" s="157">
        <f>Financing!O9</f>
        <v>4.9000000000000002E-2</v>
      </c>
    </row>
    <row r="21" spans="1:15" ht="15" customHeight="1" x14ac:dyDescent="0.2">
      <c r="B21" s="2" t="s">
        <v>186</v>
      </c>
      <c r="C21" s="129"/>
      <c r="D21" s="129"/>
      <c r="E21" s="9"/>
      <c r="F21" s="129">
        <f t="shared" ref="F21:O21" ca="1" si="0">AVERAGE(E19:F19)*F20</f>
        <v>0</v>
      </c>
      <c r="G21" s="129">
        <f t="shared" ca="1" si="0"/>
        <v>0</v>
      </c>
      <c r="H21" s="129">
        <f t="shared" ca="1" si="0"/>
        <v>0</v>
      </c>
      <c r="I21" s="129">
        <f t="shared" ca="1" si="0"/>
        <v>0</v>
      </c>
      <c r="J21" s="129">
        <f t="shared" ca="1" si="0"/>
        <v>0</v>
      </c>
      <c r="K21" s="129">
        <f t="shared" ca="1" si="0"/>
        <v>0</v>
      </c>
      <c r="L21" s="129">
        <f t="shared" ca="1" si="0"/>
        <v>0</v>
      </c>
      <c r="M21" s="129">
        <f t="shared" ca="1" si="0"/>
        <v>0</v>
      </c>
      <c r="N21" s="129">
        <f t="shared" ca="1" si="0"/>
        <v>0</v>
      </c>
      <c r="O21" s="129">
        <f t="shared" ca="1" si="0"/>
        <v>0</v>
      </c>
    </row>
    <row r="22" spans="1:15" ht="15" customHeight="1" x14ac:dyDescent="0.2">
      <c r="C22" s="129"/>
      <c r="D22" s="129"/>
      <c r="E22" s="9"/>
      <c r="F22" s="129"/>
      <c r="G22" s="129"/>
      <c r="H22" s="129"/>
      <c r="I22" s="129"/>
      <c r="J22" s="129"/>
      <c r="K22" s="129"/>
      <c r="L22" s="129"/>
      <c r="M22" s="129"/>
      <c r="N22" s="129"/>
      <c r="O22" s="129"/>
    </row>
    <row r="23" spans="1:15" ht="15" customHeight="1" x14ac:dyDescent="0.2">
      <c r="B23" s="2" t="s">
        <v>187</v>
      </c>
      <c r="C23" s="129"/>
      <c r="D23" s="129"/>
      <c r="E23" s="129">
        <f>BS!E23</f>
        <v>5661.4824732900006</v>
      </c>
      <c r="F23" s="129">
        <f>Financing!F8+Financing!E23</f>
        <v>23161.482473290002</v>
      </c>
      <c r="G23" s="129">
        <f>Financing!G8+Financing!F23</f>
        <v>5661.4824732900015</v>
      </c>
      <c r="H23" s="129">
        <f>Financing!H8+Financing!G23</f>
        <v>5661.4824732900015</v>
      </c>
      <c r="I23" s="129">
        <f>Financing!I8+Financing!H23</f>
        <v>5661.4824732900015</v>
      </c>
      <c r="J23" s="129">
        <f>Financing!J8+Financing!I23</f>
        <v>5661.4824732900015</v>
      </c>
      <c r="K23" s="129">
        <f>Financing!K8+Financing!J23</f>
        <v>5661.4824732900015</v>
      </c>
      <c r="L23" s="129">
        <f>Financing!L8+Financing!K23</f>
        <v>5661.4824732900015</v>
      </c>
      <c r="M23" s="129">
        <f>Financing!M8+Financing!L23</f>
        <v>5661.4824732900015</v>
      </c>
      <c r="N23" s="129">
        <f>Financing!N8+Financing!M23</f>
        <v>5661.4824732900015</v>
      </c>
      <c r="O23" s="129">
        <f>Financing!O8+Financing!N23</f>
        <v>5661.4824732900015</v>
      </c>
    </row>
    <row r="24" spans="1:15" ht="15" customHeight="1" x14ac:dyDescent="0.2">
      <c r="B24" s="2" t="s">
        <v>188</v>
      </c>
      <c r="C24" s="129"/>
      <c r="D24" s="129"/>
      <c r="E24" s="9"/>
      <c r="F24" s="157">
        <f>Financing!F9</f>
        <v>4.9000000000000002E-2</v>
      </c>
      <c r="G24" s="157">
        <f>Financing!G9</f>
        <v>4.9000000000000002E-2</v>
      </c>
      <c r="H24" s="157">
        <f>Financing!H9</f>
        <v>4.9000000000000002E-2</v>
      </c>
      <c r="I24" s="157">
        <f>Financing!I9</f>
        <v>4.9000000000000002E-2</v>
      </c>
      <c r="J24" s="157">
        <f>Financing!J9</f>
        <v>4.9000000000000002E-2</v>
      </c>
      <c r="K24" s="157">
        <f>Financing!K9</f>
        <v>4.9000000000000002E-2</v>
      </c>
      <c r="L24" s="157">
        <f>Financing!L9</f>
        <v>4.9000000000000002E-2</v>
      </c>
      <c r="M24" s="157">
        <f>Financing!M9</f>
        <v>4.9000000000000002E-2</v>
      </c>
      <c r="N24" s="157">
        <f>Financing!N9</f>
        <v>4.9000000000000002E-2</v>
      </c>
      <c r="O24" s="157">
        <f>Financing!O9</f>
        <v>4.9000000000000002E-2</v>
      </c>
    </row>
    <row r="25" spans="1:15" ht="15" customHeight="1" x14ac:dyDescent="0.2">
      <c r="B25" s="2" t="s">
        <v>189</v>
      </c>
      <c r="C25" s="129"/>
      <c r="D25" s="129"/>
      <c r="E25" s="9"/>
      <c r="F25" s="129">
        <f t="shared" ref="F25:O25" si="1">AVERAGE(E23:F23)*F24</f>
        <v>706.16264119121013</v>
      </c>
      <c r="G25" s="129">
        <f t="shared" si="1"/>
        <v>706.16264119121013</v>
      </c>
      <c r="H25" s="129">
        <f t="shared" si="1"/>
        <v>277.41264119121007</v>
      </c>
      <c r="I25" s="129">
        <f t="shared" si="1"/>
        <v>277.41264119121007</v>
      </c>
      <c r="J25" s="129">
        <f t="shared" si="1"/>
        <v>277.41264119121007</v>
      </c>
      <c r="K25" s="129">
        <f t="shared" si="1"/>
        <v>277.41264119121007</v>
      </c>
      <c r="L25" s="129">
        <f t="shared" si="1"/>
        <v>277.41264119121007</v>
      </c>
      <c r="M25" s="129">
        <f t="shared" si="1"/>
        <v>277.41264119121007</v>
      </c>
      <c r="N25" s="129">
        <f t="shared" si="1"/>
        <v>277.41264119121007</v>
      </c>
      <c r="O25" s="129">
        <f t="shared" si="1"/>
        <v>277.41264119121007</v>
      </c>
    </row>
    <row r="26" spans="1:15" ht="15" customHeight="1" x14ac:dyDescent="0.2">
      <c r="C26" s="129"/>
      <c r="D26" s="129"/>
      <c r="E26" s="9"/>
      <c r="F26" s="129"/>
      <c r="G26" s="129"/>
      <c r="H26" s="129"/>
      <c r="I26" s="129"/>
      <c r="J26" s="129"/>
      <c r="K26" s="129"/>
      <c r="L26" s="129"/>
      <c r="M26" s="129"/>
      <c r="N26" s="129"/>
      <c r="O26" s="129"/>
    </row>
    <row r="27" spans="1:15" ht="15" customHeight="1" x14ac:dyDescent="0.2">
      <c r="B27" s="2" t="s">
        <v>190</v>
      </c>
      <c r="C27" s="129"/>
      <c r="D27" s="129"/>
      <c r="E27" s="129">
        <f>BS!E28</f>
        <v>6800</v>
      </c>
      <c r="F27" s="129">
        <f>Financing!F10+Financing!E27</f>
        <v>48800</v>
      </c>
      <c r="G27" s="129">
        <f>Financing!G10+Financing!F27</f>
        <v>59800</v>
      </c>
      <c r="H27" s="129">
        <f>Financing!H10+Financing!G27</f>
        <v>59800</v>
      </c>
      <c r="I27" s="129">
        <f>Financing!I10+Financing!H27</f>
        <v>59800</v>
      </c>
      <c r="J27" s="129">
        <f>Financing!J10+Financing!I27</f>
        <v>59800</v>
      </c>
      <c r="K27" s="129">
        <f>Financing!K10+Financing!J27</f>
        <v>59800</v>
      </c>
      <c r="L27" s="129">
        <f>Financing!L10+Financing!K27</f>
        <v>59800</v>
      </c>
      <c r="M27" s="129">
        <f>Financing!M10+Financing!L27</f>
        <v>59800</v>
      </c>
      <c r="N27" s="129">
        <f>Financing!N10+Financing!M27</f>
        <v>59800</v>
      </c>
      <c r="O27" s="129">
        <f>Financing!O10+Financing!N27</f>
        <v>59800</v>
      </c>
    </row>
    <row r="28" spans="1:15" ht="15" customHeight="1" x14ac:dyDescent="0.2">
      <c r="B28" s="2" t="s">
        <v>178</v>
      </c>
      <c r="C28" s="129"/>
      <c r="D28" s="129"/>
      <c r="E28" s="9"/>
      <c r="F28" s="157">
        <f>Financing!F11</f>
        <v>5.3460000000000001E-2</v>
      </c>
      <c r="G28" s="157">
        <f>Financing!G11</f>
        <v>5.3460000000000001E-2</v>
      </c>
      <c r="H28" s="157">
        <f>Financing!H11</f>
        <v>5.3460000000000001E-2</v>
      </c>
      <c r="I28" s="157">
        <f>Financing!I11</f>
        <v>5.3460000000000001E-2</v>
      </c>
      <c r="J28" s="157">
        <f>Financing!J11</f>
        <v>5.3460000000000001E-2</v>
      </c>
      <c r="K28" s="157">
        <f>Financing!K11</f>
        <v>5.3460000000000001E-2</v>
      </c>
      <c r="L28" s="157">
        <f>Financing!L11</f>
        <v>5.3460000000000001E-2</v>
      </c>
      <c r="M28" s="157">
        <f>Financing!M11</f>
        <v>5.3460000000000001E-2</v>
      </c>
      <c r="N28" s="157">
        <f>Financing!N11</f>
        <v>5.3460000000000001E-2</v>
      </c>
      <c r="O28" s="157">
        <f>Financing!O11</f>
        <v>5.3460000000000001E-2</v>
      </c>
    </row>
    <row r="29" spans="1:15" ht="15" customHeight="1" x14ac:dyDescent="0.2">
      <c r="B29" s="2" t="s">
        <v>191</v>
      </c>
      <c r="C29" s="129"/>
      <c r="D29" s="129"/>
      <c r="E29" s="9"/>
      <c r="F29" s="129">
        <f t="shared" ref="F29:O29" si="2">AVERAGE(E27:F27)*F28</f>
        <v>1486.1880000000001</v>
      </c>
      <c r="G29" s="129">
        <f t="shared" si="2"/>
        <v>2902.8780000000002</v>
      </c>
      <c r="H29" s="129">
        <f t="shared" si="2"/>
        <v>3196.9079999999999</v>
      </c>
      <c r="I29" s="129">
        <f t="shared" si="2"/>
        <v>3196.9079999999999</v>
      </c>
      <c r="J29" s="129">
        <f t="shared" si="2"/>
        <v>3196.9079999999999</v>
      </c>
      <c r="K29" s="129">
        <f t="shared" si="2"/>
        <v>3196.9079999999999</v>
      </c>
      <c r="L29" s="129">
        <f t="shared" si="2"/>
        <v>3196.9079999999999</v>
      </c>
      <c r="M29" s="129">
        <f t="shared" si="2"/>
        <v>3196.9079999999999</v>
      </c>
      <c r="N29" s="129">
        <f t="shared" si="2"/>
        <v>3196.9079999999999</v>
      </c>
      <c r="O29" s="129">
        <f t="shared" si="2"/>
        <v>3196.9079999999999</v>
      </c>
    </row>
    <row r="30" spans="1:15" ht="15" customHeight="1" x14ac:dyDescent="0.2">
      <c r="C30" s="129"/>
      <c r="D30" s="129"/>
      <c r="E30" s="9"/>
      <c r="F30" s="129"/>
      <c r="G30" s="129"/>
      <c r="H30" s="129"/>
      <c r="I30" s="129"/>
      <c r="J30" s="129"/>
      <c r="K30" s="129"/>
      <c r="L30" s="129"/>
      <c r="M30" s="129"/>
      <c r="N30" s="129"/>
      <c r="O30" s="129"/>
    </row>
    <row r="31" spans="1:15" ht="15" customHeight="1" x14ac:dyDescent="0.2">
      <c r="B31" s="2" t="s">
        <v>143</v>
      </c>
      <c r="C31" s="129"/>
      <c r="D31" s="129"/>
      <c r="E31" s="129">
        <f>BS!E29</f>
        <v>3955.7263333400001</v>
      </c>
      <c r="F31" s="129">
        <f t="shared" ref="F31:O31" si="3">E31+F12</f>
        <v>23955.726333340001</v>
      </c>
      <c r="G31" s="129">
        <f t="shared" si="3"/>
        <v>20955.726333340001</v>
      </c>
      <c r="H31" s="129">
        <f t="shared" si="3"/>
        <v>18955.726333340001</v>
      </c>
      <c r="I31" s="129">
        <f t="shared" si="3"/>
        <v>18955.726333340001</v>
      </c>
      <c r="J31" s="129">
        <f t="shared" si="3"/>
        <v>18955.726333340001</v>
      </c>
      <c r="K31" s="129">
        <f t="shared" si="3"/>
        <v>18955.726333340001</v>
      </c>
      <c r="L31" s="129">
        <f t="shared" si="3"/>
        <v>18955.726333340001</v>
      </c>
      <c r="M31" s="129">
        <f t="shared" si="3"/>
        <v>15955.726333340001</v>
      </c>
      <c r="N31" s="129">
        <f t="shared" si="3"/>
        <v>12000</v>
      </c>
      <c r="O31" s="129">
        <f t="shared" si="3"/>
        <v>12000</v>
      </c>
    </row>
    <row r="32" spans="1:15" ht="15" customHeight="1" x14ac:dyDescent="0.2">
      <c r="B32" s="2" t="s">
        <v>180</v>
      </c>
      <c r="C32" s="129"/>
      <c r="D32" s="129"/>
      <c r="E32" s="9"/>
      <c r="F32" s="157">
        <f t="shared" ref="F32:O32" si="4">F13</f>
        <v>4.8099999999999997E-2</v>
      </c>
      <c r="G32" s="157">
        <f t="shared" si="4"/>
        <v>4.8099999999999997E-2</v>
      </c>
      <c r="H32" s="157">
        <f t="shared" si="4"/>
        <v>4.8099999999999997E-2</v>
      </c>
      <c r="I32" s="157">
        <f t="shared" si="4"/>
        <v>4.8099999999999997E-2</v>
      </c>
      <c r="J32" s="157">
        <f t="shared" si="4"/>
        <v>4.8099999999999997E-2</v>
      </c>
      <c r="K32" s="157">
        <f t="shared" si="4"/>
        <v>4.8099999999999997E-2</v>
      </c>
      <c r="L32" s="157">
        <f t="shared" si="4"/>
        <v>4.8099999999999997E-2</v>
      </c>
      <c r="M32" s="157">
        <f t="shared" si="4"/>
        <v>4.8099999999999997E-2</v>
      </c>
      <c r="N32" s="157">
        <f t="shared" si="4"/>
        <v>4.8099999999999997E-2</v>
      </c>
      <c r="O32" s="157">
        <f t="shared" si="4"/>
        <v>4.8099999999999997E-2</v>
      </c>
    </row>
    <row r="33" spans="1:15" ht="15" customHeight="1" x14ac:dyDescent="0.2">
      <c r="B33" s="2" t="s">
        <v>192</v>
      </c>
      <c r="C33" s="129"/>
      <c r="D33" s="129"/>
      <c r="E33" s="9"/>
      <c r="F33" s="129">
        <f t="shared" ref="F33:O33" si="5">AVERAGE(E31:F31)*F32</f>
        <v>671.27043663365396</v>
      </c>
      <c r="G33" s="129">
        <f t="shared" si="5"/>
        <v>1080.120436633654</v>
      </c>
      <c r="H33" s="129">
        <f t="shared" si="5"/>
        <v>959.87043663365398</v>
      </c>
      <c r="I33" s="129">
        <f t="shared" si="5"/>
        <v>911.77043663365396</v>
      </c>
      <c r="J33" s="129">
        <f t="shared" si="5"/>
        <v>911.77043663365396</v>
      </c>
      <c r="K33" s="129">
        <f t="shared" si="5"/>
        <v>911.77043663365396</v>
      </c>
      <c r="L33" s="129">
        <f t="shared" si="5"/>
        <v>911.77043663365396</v>
      </c>
      <c r="M33" s="129">
        <f t="shared" si="5"/>
        <v>839.62043663365398</v>
      </c>
      <c r="N33" s="129">
        <f t="shared" si="5"/>
        <v>672.33521831682697</v>
      </c>
      <c r="O33" s="129">
        <f t="shared" si="5"/>
        <v>577.19999999999993</v>
      </c>
    </row>
    <row r="34" spans="1:15" ht="15" customHeight="1" x14ac:dyDescent="0.2">
      <c r="C34" s="129"/>
      <c r="D34" s="129"/>
      <c r="E34" s="9"/>
      <c r="F34" s="129"/>
      <c r="G34" s="129"/>
      <c r="H34" s="129"/>
      <c r="I34" s="129"/>
      <c r="J34" s="129"/>
      <c r="K34" s="129"/>
      <c r="L34" s="129"/>
      <c r="M34" s="129"/>
      <c r="N34" s="129"/>
      <c r="O34" s="129"/>
    </row>
    <row r="35" spans="1:15" ht="15" customHeight="1" x14ac:dyDescent="0.2">
      <c r="B35" s="5" t="s">
        <v>98</v>
      </c>
      <c r="E35" s="15">
        <f>SUM(E19,E23,E27,E31)</f>
        <v>16417.208806630002</v>
      </c>
      <c r="F35" s="15">
        <f ca="1">SUM(F19,F23,F27,F31)</f>
        <v>95917.208806630006</v>
      </c>
      <c r="G35" s="15">
        <f t="shared" ref="G35:O35" ca="1" si="6">SUM(G19,G23,G27,G31)</f>
        <v>86417.208806630006</v>
      </c>
      <c r="H35" s="15">
        <f t="shared" ca="1" si="6"/>
        <v>84417.208806630006</v>
      </c>
      <c r="I35" s="15">
        <f t="shared" ca="1" si="6"/>
        <v>84417.208806630006</v>
      </c>
      <c r="J35" s="15">
        <f t="shared" ca="1" si="6"/>
        <v>84417.208806630006</v>
      </c>
      <c r="K35" s="15">
        <f t="shared" ca="1" si="6"/>
        <v>84417.208806630006</v>
      </c>
      <c r="L35" s="15">
        <f t="shared" ca="1" si="6"/>
        <v>84417.208806630006</v>
      </c>
      <c r="M35" s="15">
        <f t="shared" ca="1" si="6"/>
        <v>81417.208806630006</v>
      </c>
      <c r="N35" s="15">
        <f t="shared" ca="1" si="6"/>
        <v>77461.482473290002</v>
      </c>
      <c r="O35" s="15">
        <f t="shared" ca="1" si="6"/>
        <v>77461.482473290002</v>
      </c>
    </row>
    <row r="36" spans="1:15" ht="15" customHeight="1" x14ac:dyDescent="0.2">
      <c r="B36" s="5" t="s">
        <v>193</v>
      </c>
      <c r="C36" s="15"/>
      <c r="D36" s="129"/>
      <c r="E36" s="9"/>
      <c r="F36" s="15">
        <f ca="1">SUM(F21,F25,F29,F33)</f>
        <v>2863.6210778248642</v>
      </c>
      <c r="G36" s="15">
        <f t="shared" ref="G36:O36" ca="1" si="7">SUM(G21,G25,G29,G33)</f>
        <v>4689.1610778248642</v>
      </c>
      <c r="H36" s="15">
        <f t="shared" ca="1" si="7"/>
        <v>4434.1910778248639</v>
      </c>
      <c r="I36" s="15">
        <f t="shared" ca="1" si="7"/>
        <v>4386.0910778248644</v>
      </c>
      <c r="J36" s="15">
        <f t="shared" ca="1" si="7"/>
        <v>4386.0910778248644</v>
      </c>
      <c r="K36" s="15">
        <f t="shared" ca="1" si="7"/>
        <v>4386.0910778248644</v>
      </c>
      <c r="L36" s="15">
        <f t="shared" ca="1" si="7"/>
        <v>4386.0910778248644</v>
      </c>
      <c r="M36" s="15">
        <f t="shared" ca="1" si="7"/>
        <v>4313.9410778248639</v>
      </c>
      <c r="N36" s="15">
        <f t="shared" ca="1" si="7"/>
        <v>4146.6558595080369</v>
      </c>
      <c r="O36" s="15">
        <f t="shared" ca="1" si="7"/>
        <v>4051.52064119121</v>
      </c>
    </row>
    <row r="37" spans="1:15" ht="15" customHeight="1" x14ac:dyDescent="0.2">
      <c r="B37" s="6"/>
      <c r="C37" s="15"/>
      <c r="D37" s="129"/>
      <c r="E37" s="9"/>
      <c r="F37" s="15"/>
      <c r="G37" s="15"/>
      <c r="H37" s="15"/>
      <c r="I37" s="15"/>
      <c r="J37" s="15"/>
      <c r="K37" s="15"/>
      <c r="L37" s="15"/>
      <c r="M37" s="15"/>
      <c r="N37" s="15"/>
      <c r="O37" s="15"/>
    </row>
    <row r="38" spans="1:15" ht="15" customHeight="1" x14ac:dyDescent="0.2">
      <c r="B38" s="2" t="s">
        <v>194</v>
      </c>
      <c r="C38" s="129"/>
      <c r="D38" s="129"/>
      <c r="E38" s="129">
        <f>BS!E11</f>
        <v>2470.51138932</v>
      </c>
      <c r="F38" s="129">
        <f ca="1">BS!F11</f>
        <v>1108.1653161185063</v>
      </c>
      <c r="G38" s="129">
        <f ca="1">BS!G11</f>
        <v>1603.2756165229916</v>
      </c>
      <c r="H38" s="129">
        <f ca="1">BS!H11</f>
        <v>9100.6238431902893</v>
      </c>
      <c r="I38" s="129">
        <f ca="1">BS!I11</f>
        <v>18652.704327349897</v>
      </c>
      <c r="J38" s="129">
        <f ca="1">BS!J11</f>
        <v>28300.491267026962</v>
      </c>
      <c r="K38" s="129">
        <f ca="1">BS!K11</f>
        <v>38065.9376012211</v>
      </c>
      <c r="L38" s="129">
        <f ca="1">BS!L11</f>
        <v>47956.372244190352</v>
      </c>
      <c r="M38" s="129">
        <f ca="1">BS!M11</f>
        <v>55030.892292155622</v>
      </c>
      <c r="N38" s="129">
        <f ca="1">BS!N11</f>
        <v>61367.974187710068</v>
      </c>
      <c r="O38" s="129">
        <f ca="1">BS!O11</f>
        <v>71816.382218037703</v>
      </c>
    </row>
    <row r="39" spans="1:15" ht="15" customHeight="1" x14ac:dyDescent="0.2">
      <c r="B39" s="2" t="s">
        <v>181</v>
      </c>
      <c r="C39" s="129"/>
      <c r="D39" s="129"/>
      <c r="E39" s="9"/>
      <c r="F39" s="157">
        <f>Financing!F14</f>
        <v>1.17E-2</v>
      </c>
      <c r="G39" s="157">
        <f>Financing!G14</f>
        <v>1.17E-2</v>
      </c>
      <c r="H39" s="157">
        <f>Financing!H14</f>
        <v>1.17E-2</v>
      </c>
      <c r="I39" s="157">
        <f>Financing!I14</f>
        <v>1.17E-2</v>
      </c>
      <c r="J39" s="157">
        <f>Financing!J14</f>
        <v>1.17E-2</v>
      </c>
      <c r="K39" s="157">
        <f>Financing!K14</f>
        <v>1.17E-2</v>
      </c>
      <c r="L39" s="157">
        <f>Financing!L14</f>
        <v>1.17E-2</v>
      </c>
      <c r="M39" s="157">
        <f>Financing!M14</f>
        <v>1.17E-2</v>
      </c>
      <c r="N39" s="157">
        <f>Financing!N14</f>
        <v>1.17E-2</v>
      </c>
      <c r="O39" s="157">
        <f>Financing!O14</f>
        <v>1.17E-2</v>
      </c>
    </row>
    <row r="40" spans="1:15" ht="15" customHeight="1" x14ac:dyDescent="0.2">
      <c r="B40" s="2" t="s">
        <v>195</v>
      </c>
      <c r="C40" s="129"/>
      <c r="D40" s="129"/>
      <c r="E40" s="9"/>
      <c r="F40" s="129">
        <f ca="1">AVERAGE(E38:F38)*F39</f>
        <v>20.935258726815263</v>
      </c>
      <c r="G40" s="129">
        <f t="shared" ref="G40:O40" ca="1" si="8">AVERAGE(F38:G38)*G39</f>
        <v>15.861929455952763</v>
      </c>
      <c r="H40" s="129">
        <f t="shared" ca="1" si="8"/>
        <v>62.617811839322691</v>
      </c>
      <c r="I40" s="129">
        <f t="shared" ca="1" si="8"/>
        <v>162.3569697976601</v>
      </c>
      <c r="J40" s="129">
        <f t="shared" ca="1" si="8"/>
        <v>274.67619422710459</v>
      </c>
      <c r="K40" s="129">
        <f t="shared" ca="1" si="8"/>
        <v>388.24360887925121</v>
      </c>
      <c r="L40" s="129">
        <f t="shared" ca="1" si="8"/>
        <v>503.23051259565699</v>
      </c>
      <c r="M40" s="129">
        <f t="shared" ca="1" si="8"/>
        <v>602.47549753762394</v>
      </c>
      <c r="N40" s="129">
        <f t="shared" ca="1" si="8"/>
        <v>680.93336890721423</v>
      </c>
      <c r="O40" s="129">
        <f t="shared" ca="1" si="8"/>
        <v>779.12848497362438</v>
      </c>
    </row>
    <row r="41" spans="1:15" ht="15" customHeight="1" x14ac:dyDescent="0.2">
      <c r="C41" s="129"/>
      <c r="D41" s="129"/>
      <c r="E41" s="9"/>
      <c r="F41" s="129"/>
      <c r="G41" s="129"/>
      <c r="H41" s="129"/>
      <c r="I41" s="129"/>
      <c r="J41" s="129"/>
      <c r="K41" s="129"/>
      <c r="L41" s="129"/>
      <c r="M41" s="129"/>
      <c r="N41" s="129"/>
      <c r="O41" s="129"/>
    </row>
    <row r="42" spans="1:15" ht="15" customHeight="1" x14ac:dyDescent="0.2">
      <c r="B42" s="5" t="s">
        <v>110</v>
      </c>
      <c r="C42" s="15"/>
      <c r="D42" s="15"/>
      <c r="E42" s="39"/>
      <c r="F42" s="15">
        <f ca="1">F36-F40</f>
        <v>2842.6858190980488</v>
      </c>
      <c r="G42" s="15">
        <f t="shared" ref="G42:O42" ca="1" si="9">G36-G40</f>
        <v>4673.2991483689111</v>
      </c>
      <c r="H42" s="15">
        <f t="shared" ca="1" si="9"/>
        <v>4371.5732659855412</v>
      </c>
      <c r="I42" s="15">
        <f t="shared" ca="1" si="9"/>
        <v>4223.7341080272045</v>
      </c>
      <c r="J42" s="15">
        <f t="shared" ca="1" si="9"/>
        <v>4111.4148835977594</v>
      </c>
      <c r="K42" s="15">
        <f t="shared" ca="1" si="9"/>
        <v>3997.8474689456134</v>
      </c>
      <c r="L42" s="15">
        <f t="shared" ca="1" si="9"/>
        <v>3882.8605652292076</v>
      </c>
      <c r="M42" s="15">
        <f t="shared" ca="1" si="9"/>
        <v>3711.4655802872398</v>
      </c>
      <c r="N42" s="15">
        <f t="shared" ca="1" si="9"/>
        <v>3465.7224906008228</v>
      </c>
      <c r="O42" s="15">
        <f t="shared" ca="1" si="9"/>
        <v>3272.3921562175856</v>
      </c>
    </row>
    <row r="43" spans="1:15" ht="15" customHeight="1" x14ac:dyDescent="0.2">
      <c r="C43" s="129"/>
      <c r="D43" s="129"/>
      <c r="E43" s="9"/>
      <c r="F43" s="129"/>
      <c r="G43" s="129"/>
      <c r="H43" s="129"/>
      <c r="I43" s="129"/>
      <c r="J43" s="129"/>
      <c r="K43" s="129"/>
      <c r="L43" s="129"/>
      <c r="M43" s="129"/>
      <c r="N43" s="129"/>
      <c r="O43" s="129"/>
    </row>
    <row r="44" spans="1:15" ht="15" customHeight="1" x14ac:dyDescent="0.2">
      <c r="A44" s="36" t="s">
        <v>196</v>
      </c>
      <c r="B44" s="147"/>
      <c r="C44" s="147"/>
      <c r="D44" s="147"/>
      <c r="E44" s="147"/>
      <c r="F44" s="147"/>
      <c r="G44" s="147"/>
      <c r="H44" s="147"/>
      <c r="I44" s="147"/>
      <c r="J44" s="147"/>
      <c r="K44" s="147"/>
      <c r="L44" s="147"/>
      <c r="M44" s="147"/>
      <c r="N44" s="147"/>
      <c r="O44" s="147"/>
    </row>
    <row r="45" spans="1:15" ht="15" customHeight="1" x14ac:dyDescent="0.2">
      <c r="A45" s="147"/>
      <c r="B45" s="10" t="s">
        <v>182</v>
      </c>
      <c r="C45" s="147"/>
      <c r="D45" s="147"/>
      <c r="E45" s="147"/>
      <c r="F45" s="129">
        <f>Financing!F15</f>
        <v>1551.590380139643</v>
      </c>
      <c r="G45" s="129">
        <f>Financing!G15</f>
        <v>0</v>
      </c>
      <c r="H45" s="129">
        <f>Financing!H15</f>
        <v>0</v>
      </c>
      <c r="I45" s="129">
        <f>Financing!I15</f>
        <v>0</v>
      </c>
      <c r="J45" s="129">
        <f>Financing!J15</f>
        <v>0</v>
      </c>
      <c r="K45" s="129">
        <f>Financing!K15</f>
        <v>0</v>
      </c>
      <c r="L45" s="129">
        <f>Financing!L15</f>
        <v>0</v>
      </c>
      <c r="M45" s="129">
        <f>Financing!M15</f>
        <v>0</v>
      </c>
      <c r="N45" s="129">
        <f>Financing!N15</f>
        <v>0</v>
      </c>
      <c r="O45" s="129">
        <f>Financing!O15</f>
        <v>0</v>
      </c>
    </row>
    <row r="46" spans="1:15" ht="15" customHeight="1" x14ac:dyDescent="0.2">
      <c r="B46" s="1" t="s">
        <v>197</v>
      </c>
      <c r="C46" s="198"/>
      <c r="D46" s="129">
        <f>IS!D51</f>
        <v>9412.0854569999992</v>
      </c>
      <c r="E46" s="129">
        <f>IS!E51</f>
        <v>9412.0854569999992</v>
      </c>
      <c r="F46" s="129">
        <f>E46+F45</f>
        <v>10963.675837139643</v>
      </c>
      <c r="G46" s="129">
        <f t="shared" ref="G46:O46" si="10">F46+G45</f>
        <v>10963.675837139643</v>
      </c>
      <c r="H46" s="129">
        <f t="shared" si="10"/>
        <v>10963.675837139643</v>
      </c>
      <c r="I46" s="129">
        <f t="shared" si="10"/>
        <v>10963.675837139643</v>
      </c>
      <c r="J46" s="129">
        <f t="shared" si="10"/>
        <v>10963.675837139643</v>
      </c>
      <c r="K46" s="129">
        <f t="shared" si="10"/>
        <v>10963.675837139643</v>
      </c>
      <c r="L46" s="129">
        <f t="shared" si="10"/>
        <v>10963.675837139643</v>
      </c>
      <c r="M46" s="129">
        <f t="shared" si="10"/>
        <v>10963.675837139643</v>
      </c>
      <c r="N46" s="129">
        <f t="shared" si="10"/>
        <v>10963.675837139643</v>
      </c>
      <c r="O46" s="129">
        <f t="shared" si="10"/>
        <v>10963.675837139643</v>
      </c>
    </row>
    <row r="47" spans="1:15" s="147" customFormat="1" ht="15" customHeight="1" x14ac:dyDescent="0.2">
      <c r="B47" s="10" t="s">
        <v>198</v>
      </c>
      <c r="F47" s="162">
        <f>Financing!F16</f>
        <v>12.89</v>
      </c>
      <c r="G47" s="162">
        <f>Financing!G16</f>
        <v>0</v>
      </c>
      <c r="H47" s="162">
        <f>Financing!H16</f>
        <v>0</v>
      </c>
      <c r="I47" s="162">
        <f>Financing!I16</f>
        <v>0</v>
      </c>
      <c r="J47" s="162">
        <f>Financing!J16</f>
        <v>0</v>
      </c>
      <c r="K47" s="162">
        <f>Financing!K16</f>
        <v>0</v>
      </c>
      <c r="L47" s="162">
        <f>Financing!L16</f>
        <v>0</v>
      </c>
      <c r="M47" s="162">
        <f>Financing!M16</f>
        <v>0</v>
      </c>
      <c r="N47" s="162">
        <f>Financing!N16</f>
        <v>0</v>
      </c>
      <c r="O47" s="162">
        <f>Financing!O16</f>
        <v>0</v>
      </c>
    </row>
    <row r="48" spans="1:15" ht="15" customHeight="1" x14ac:dyDescent="0.2">
      <c r="A48" s="147"/>
      <c r="B48" s="10" t="s">
        <v>199</v>
      </c>
      <c r="C48" s="147"/>
      <c r="D48" s="147"/>
      <c r="E48" s="129">
        <f>BS!E32</f>
        <v>27351.579976519999</v>
      </c>
      <c r="F48" s="129">
        <f>E48+F45*F47</f>
        <v>47351.579976519999</v>
      </c>
      <c r="G48" s="129">
        <f t="shared" ref="G48:O48" si="11">F48+G45*G47</f>
        <v>47351.579976519999</v>
      </c>
      <c r="H48" s="129">
        <f t="shared" si="11"/>
        <v>47351.579976519999</v>
      </c>
      <c r="I48" s="129">
        <f t="shared" si="11"/>
        <v>47351.579976519999</v>
      </c>
      <c r="J48" s="129">
        <f t="shared" si="11"/>
        <v>47351.579976519999</v>
      </c>
      <c r="K48" s="129">
        <f t="shared" si="11"/>
        <v>47351.579976519999</v>
      </c>
      <c r="L48" s="129">
        <f t="shared" si="11"/>
        <v>47351.579976519999</v>
      </c>
      <c r="M48" s="129">
        <f t="shared" si="11"/>
        <v>47351.579976519999</v>
      </c>
      <c r="N48" s="129">
        <f t="shared" si="11"/>
        <v>47351.579976519999</v>
      </c>
      <c r="O48" s="129">
        <f t="shared" si="11"/>
        <v>47351.579976519999</v>
      </c>
    </row>
    <row r="49" spans="1:15" ht="15" customHeight="1" x14ac:dyDescent="0.2">
      <c r="E49" s="129"/>
      <c r="F49" s="129"/>
      <c r="G49" s="129"/>
      <c r="H49" s="129"/>
      <c r="I49" s="129"/>
      <c r="J49" s="129"/>
      <c r="K49" s="129"/>
      <c r="L49" s="129"/>
      <c r="M49" s="129"/>
      <c r="N49" s="129"/>
      <c r="O49" s="129"/>
    </row>
    <row r="50" spans="1:15" ht="15" customHeight="1" x14ac:dyDescent="0.2">
      <c r="A50" s="5" t="s">
        <v>200</v>
      </c>
      <c r="E50" s="129"/>
    </row>
    <row r="51" spans="1:15" ht="15" customHeight="1" x14ac:dyDescent="0.2">
      <c r="B51" s="2" t="s">
        <v>249</v>
      </c>
      <c r="C51" s="157">
        <f>SUM(BS!C22:C23,BS!C28:C29)/SUM(BS!C22:C23,BS!C28:C29,BS!C34)</f>
        <v>0.33102832479528188</v>
      </c>
      <c r="D51" s="157">
        <f>SUM(BS!D22:D23,BS!D28:D29)/SUM(BS!D22:D23,BS!D28:D29,BS!D34)</f>
        <v>0.31457481850399022</v>
      </c>
      <c r="E51" s="157">
        <f>SUM(BS!E22:E23,BS!E28:E29)/SUM(BS!E22:E23,BS!E28:E29,BS!E34)</f>
        <v>0.30411081751276792</v>
      </c>
      <c r="F51" s="157">
        <f ca="1">SUM(BS!F22:F23,BS!F28:F29)/SUM(BS!F22:F23,BS!F28:F29,BS!F34)</f>
        <v>0.61221650117493254</v>
      </c>
      <c r="G51" s="157">
        <f ca="1">SUM(BS!G22:G23,BS!G28:G29)/SUM(BS!G22:G23,BS!G28:G29,BS!G34)</f>
        <v>0.56952940823316178</v>
      </c>
      <c r="H51" s="157">
        <f ca="1">SUM(BS!H22:H23,BS!H28:H29)/SUM(BS!H22:H23,BS!H28:H29,BS!H34)</f>
        <v>0.54873785729962166</v>
      </c>
      <c r="I51" s="157">
        <f ca="1">SUM(BS!I22:I23,BS!I28:I29)/SUM(BS!I22:I23,BS!I28:I29,BS!I34)</f>
        <v>0.5338931981678694</v>
      </c>
      <c r="J51" s="157">
        <f ca="1">SUM(BS!J22:J23,BS!J28:J29)/SUM(BS!J22:J23,BS!J28:J29,BS!J34)</f>
        <v>0.51917648391378679</v>
      </c>
      <c r="K51" s="157">
        <f ca="1">SUM(BS!K22:K23,BS!K28:K29)/SUM(BS!K22:K23,BS!K28:K29,BS!K34)</f>
        <v>0.5045920590424694</v>
      </c>
      <c r="L51" s="157">
        <f ca="1">SUM(BS!L22:L23,BS!L28:L29)/SUM(BS!L22:L23,BS!L28:L29,BS!L34)</f>
        <v>0.49018766170663558</v>
      </c>
      <c r="M51" s="157">
        <f ca="1">SUM(BS!M22:M23,BS!M28:M29)/SUM(BS!M22:M23,BS!M28:M29,BS!M34)</f>
        <v>0.46684700117413341</v>
      </c>
      <c r="N51" s="157">
        <f ca="1">SUM(BS!N22:N23,BS!N28:N29)/SUM(BS!N22:N23,BS!N28:N29,BS!N34)</f>
        <v>0.44032143780793725</v>
      </c>
      <c r="O51" s="157">
        <f ca="1">SUM(BS!O22:O23,BS!O28:O29)/SUM(BS!O22:O23,BS!O28:O29,BS!O34)</f>
        <v>0.42649783863618296</v>
      </c>
    </row>
    <row r="52" spans="1:15" ht="15" customHeight="1" x14ac:dyDescent="0.2">
      <c r="B52" s="2" t="s">
        <v>104</v>
      </c>
      <c r="C52" s="157">
        <f>BS!C30/BS!C19</f>
        <v>0.36277103540567718</v>
      </c>
      <c r="D52" s="157">
        <f>BS!D30/BS!D19</f>
        <v>0.33524732530941054</v>
      </c>
      <c r="E52" s="157">
        <f>BS!E30/BS!E19</f>
        <v>0.33968077074678038</v>
      </c>
      <c r="F52" s="157">
        <f ca="1">BS!F30/BS!F19</f>
        <v>0.61885432754446335</v>
      </c>
      <c r="G52" s="157">
        <f ca="1">BS!G30/BS!G19</f>
        <v>0.57749422341160439</v>
      </c>
      <c r="H52" s="157">
        <f ca="1">BS!H30/BS!H19</f>
        <v>0.55716249952021901</v>
      </c>
      <c r="I52" s="157">
        <f ca="1">BS!I30/BS!I19</f>
        <v>0.54255207422374419</v>
      </c>
      <c r="J52" s="157">
        <f ca="1">BS!J30/BS!J19</f>
        <v>0.52805584029344099</v>
      </c>
      <c r="K52" s="157">
        <f ca="1">BS!K30/BS!K19</f>
        <v>0.51367752464369487</v>
      </c>
      <c r="L52" s="157">
        <f ca="1">BS!L30/BS!L19</f>
        <v>0.49946431193041657</v>
      </c>
      <c r="M52" s="157">
        <f ca="1">BS!M30/BS!M19</f>
        <v>0.47663044652861297</v>
      </c>
      <c r="N52" s="157">
        <f ca="1">BS!N30/BS!N19</f>
        <v>0.45071386666466257</v>
      </c>
      <c r="O52" s="157">
        <f ca="1">BS!O30/BS!O19</f>
        <v>0.43702665493541887</v>
      </c>
    </row>
    <row r="53" spans="1:15" ht="15" customHeight="1" x14ac:dyDescent="0.2">
      <c r="B53" s="1" t="s">
        <v>201</v>
      </c>
      <c r="C53" s="158">
        <f>IS!C52</f>
        <v>0.38410568728009792</v>
      </c>
      <c r="D53" s="158">
        <f>IS!D52</f>
        <v>0.57080685359102334</v>
      </c>
      <c r="E53" s="158">
        <f>IS!E52</f>
        <v>0.41758792316179888</v>
      </c>
      <c r="F53" s="158">
        <f ca="1">IS!F52</f>
        <v>0.4771700508536928</v>
      </c>
      <c r="G53" s="158">
        <f ca="1">IS!G52</f>
        <v>0.66426341045330439</v>
      </c>
      <c r="H53" s="158">
        <f ca="1">IS!H52</f>
        <v>0.71978541627816539</v>
      </c>
      <c r="I53" s="158">
        <f ca="1">IS!I52</f>
        <v>0.76443312471247793</v>
      </c>
      <c r="J53" s="158">
        <f ca="1">IS!J52</f>
        <v>0.80631028124678528</v>
      </c>
      <c r="K53" s="158">
        <f ca="1">IS!K52</f>
        <v>0.84793712742286576</v>
      </c>
      <c r="L53" s="158">
        <f ca="1">IS!L52</f>
        <v>0.88932885871609002</v>
      </c>
      <c r="M53" s="158">
        <f ca="1">IS!M52</f>
        <v>0.93528436903857182</v>
      </c>
      <c r="N53" s="158">
        <f ca="1">IS!N52</f>
        <v>0.98599586410782569</v>
      </c>
      <c r="O53" s="158">
        <f ca="1">IS!O52</f>
        <v>1.03279058349268</v>
      </c>
    </row>
    <row r="54" spans="1:15" ht="15" customHeight="1" x14ac:dyDescent="0.2">
      <c r="B54" s="144"/>
      <c r="C54" s="8"/>
      <c r="D54" s="8"/>
      <c r="E54" s="8"/>
      <c r="F54" s="158"/>
      <c r="G54" s="158"/>
      <c r="H54" s="158"/>
      <c r="I54" s="158"/>
      <c r="J54" s="158"/>
      <c r="K54" s="158"/>
      <c r="L54" s="158"/>
      <c r="M54" s="158"/>
      <c r="N54" s="158"/>
      <c r="O54" s="158"/>
    </row>
  </sheetData>
  <phoneticPr fontId="2" type="noConversion"/>
  <printOptions horizontalCentered="1" verticalCentered="1" headings="1"/>
  <pageMargins left="0.74803149606299213" right="0.74803149606299213" top="0.98425196850393704" bottom="0.98425196850393704" header="0.51181102362204722" footer="0.51181102362204722"/>
  <pageSetup paperSize="9" scale="60" orientation="landscape" blackAndWhite="1" verticalDpi="1200" r:id="rId1"/>
  <headerFooter alignWithMargins="0">
    <oddHeader>&amp;L&amp;"宋体,常规"诚迅金融培训&amp;Rwww.chainshine.com</oddHeader>
    <oddFooter>第 &amp;P 页，共 &amp;N 页</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O93"/>
  <sheetViews>
    <sheetView workbookViewId="0">
      <pane xSplit="2" ySplit="5" topLeftCell="C6" activePane="bottomRight" state="frozen"/>
      <selection activeCell="A6" sqref="A6"/>
      <selection pane="topRight" activeCell="A6" sqref="A6"/>
      <selection pane="bottomLeft" activeCell="A6" sqref="A6"/>
      <selection pane="bottomRight" activeCell="C6" sqref="C6"/>
    </sheetView>
  </sheetViews>
  <sheetFormatPr defaultColWidth="0" defaultRowHeight="15" customHeight="1" x14ac:dyDescent="0.2"/>
  <cols>
    <col min="1" max="1" width="1.7109375" style="121" customWidth="1"/>
    <col min="2" max="2" width="27.7109375" style="121" customWidth="1"/>
    <col min="3" max="11" width="10.7109375" style="129" customWidth="1"/>
    <col min="12" max="15" width="10.7109375" style="121" customWidth="1"/>
    <col min="16" max="16" width="1.7109375" style="121" customWidth="1"/>
    <col min="17" max="16384" width="0" style="121" hidden="1"/>
  </cols>
  <sheetData>
    <row r="1" spans="1:15" ht="24" customHeight="1" x14ac:dyDescent="0.3">
      <c r="A1" s="110" t="s">
        <v>77</v>
      </c>
      <c r="B1" s="120"/>
      <c r="C1" s="111"/>
      <c r="D1" s="111"/>
      <c r="E1" s="111"/>
      <c r="F1" s="111"/>
      <c r="G1" s="111"/>
      <c r="H1" s="111"/>
      <c r="I1" s="111"/>
      <c r="J1" s="111"/>
      <c r="K1" s="111"/>
      <c r="L1" s="111"/>
      <c r="M1" s="111"/>
      <c r="N1" s="111"/>
      <c r="O1" s="111"/>
    </row>
    <row r="2" spans="1:15" ht="2.1" customHeight="1" x14ac:dyDescent="0.2">
      <c r="A2" s="26"/>
      <c r="B2" s="147"/>
      <c r="C2" s="112"/>
      <c r="D2" s="112"/>
      <c r="E2" s="112"/>
      <c r="F2" s="112"/>
      <c r="G2" s="112"/>
      <c r="H2" s="112"/>
      <c r="I2" s="112"/>
      <c r="J2" s="112"/>
      <c r="K2" s="112"/>
      <c r="L2" s="112"/>
      <c r="M2" s="112"/>
      <c r="N2" s="112"/>
      <c r="O2" s="112"/>
    </row>
    <row r="3" spans="1:15" ht="18" customHeight="1" x14ac:dyDescent="0.25">
      <c r="A3" s="210" t="s">
        <v>74</v>
      </c>
      <c r="B3" s="172"/>
      <c r="C3" s="172"/>
      <c r="D3" s="173"/>
      <c r="E3" s="173"/>
      <c r="F3" s="173"/>
      <c r="G3" s="173"/>
      <c r="H3" s="173"/>
      <c r="I3" s="173"/>
      <c r="J3" s="173"/>
      <c r="K3" s="173"/>
      <c r="L3" s="173"/>
      <c r="M3" s="173"/>
      <c r="N3" s="173"/>
      <c r="O3" s="173"/>
    </row>
    <row r="4" spans="1:15" ht="2.1" customHeight="1" x14ac:dyDescent="0.2">
      <c r="A4" s="174"/>
      <c r="B4" s="175"/>
      <c r="C4" s="175"/>
      <c r="D4" s="176"/>
      <c r="E4" s="176"/>
      <c r="F4" s="176"/>
      <c r="G4" s="176"/>
      <c r="H4" s="176"/>
      <c r="I4" s="176"/>
      <c r="J4" s="176"/>
      <c r="K4" s="176"/>
      <c r="L4" s="176"/>
      <c r="M4" s="108" t="s">
        <v>93</v>
      </c>
      <c r="N4" s="108" t="s">
        <v>93</v>
      </c>
      <c r="O4" s="108" t="s">
        <v>93</v>
      </c>
    </row>
    <row r="5" spans="1:15" ht="15" customHeight="1" x14ac:dyDescent="0.2">
      <c r="A5" s="113" t="s">
        <v>94</v>
      </c>
      <c r="C5" s="114">
        <v>39082</v>
      </c>
      <c r="D5" s="114">
        <v>39447</v>
      </c>
      <c r="E5" s="114">
        <v>39813</v>
      </c>
      <c r="F5" s="115">
        <v>40178</v>
      </c>
      <c r="G5" s="115">
        <v>40543</v>
      </c>
      <c r="H5" s="115">
        <v>40908</v>
      </c>
      <c r="I5" s="115">
        <v>41274</v>
      </c>
      <c r="J5" s="115">
        <v>41639</v>
      </c>
      <c r="K5" s="115">
        <v>42004</v>
      </c>
      <c r="L5" s="115">
        <v>42369</v>
      </c>
      <c r="M5" s="115">
        <v>42735</v>
      </c>
      <c r="N5" s="115">
        <v>43100</v>
      </c>
      <c r="O5" s="115">
        <v>43465</v>
      </c>
    </row>
    <row r="6" spans="1:15" ht="15" customHeight="1" x14ac:dyDescent="0.2">
      <c r="A6" s="29"/>
      <c r="B6" s="141"/>
      <c r="C6" s="159"/>
      <c r="D6" s="159"/>
      <c r="E6" s="159"/>
      <c r="F6" s="159"/>
      <c r="G6" s="159"/>
      <c r="H6" s="159"/>
      <c r="I6" s="159"/>
      <c r="J6" s="159"/>
      <c r="K6" s="159"/>
      <c r="L6" s="159"/>
      <c r="M6" s="159"/>
      <c r="N6" s="159"/>
      <c r="O6" s="159"/>
    </row>
    <row r="7" spans="1:15" ht="15" customHeight="1" x14ac:dyDescent="0.2">
      <c r="A7" s="33" t="s">
        <v>106</v>
      </c>
      <c r="B7" s="141"/>
      <c r="C7" s="159"/>
      <c r="D7" s="159"/>
      <c r="F7" s="159"/>
      <c r="G7" s="159"/>
      <c r="H7" s="159"/>
      <c r="I7" s="159"/>
      <c r="J7" s="159"/>
      <c r="K7" s="159"/>
      <c r="L7" s="159"/>
      <c r="M7" s="159"/>
      <c r="N7" s="159"/>
      <c r="O7" s="159"/>
    </row>
    <row r="8" spans="1:15" s="147" customFormat="1" ht="15" customHeight="1" x14ac:dyDescent="0.2">
      <c r="B8" s="13" t="s">
        <v>72</v>
      </c>
      <c r="C8" s="195"/>
      <c r="D8" s="160">
        <f>BS!D18+IS!D38-BS!C18</f>
        <v>4.60266077</v>
      </c>
      <c r="E8" s="160">
        <f>BS!E18+IS!E38-BS!D18</f>
        <v>9.2276932299999999</v>
      </c>
      <c r="F8" s="45">
        <v>12</v>
      </c>
      <c r="G8" s="45">
        <v>12</v>
      </c>
      <c r="H8" s="45">
        <v>12</v>
      </c>
      <c r="I8" s="45">
        <v>12</v>
      </c>
      <c r="J8" s="45">
        <v>12</v>
      </c>
      <c r="K8" s="45">
        <v>12</v>
      </c>
      <c r="L8" s="45">
        <v>12</v>
      </c>
      <c r="M8" s="45">
        <v>12</v>
      </c>
      <c r="N8" s="45">
        <v>12</v>
      </c>
      <c r="O8" s="45">
        <v>12</v>
      </c>
    </row>
    <row r="9" spans="1:15" s="147" customFormat="1" ht="15" customHeight="1" x14ac:dyDescent="0.2">
      <c r="B9" s="10" t="s">
        <v>109</v>
      </c>
      <c r="C9" s="152">
        <f>IS!C38</f>
        <v>4.1455720600000001</v>
      </c>
      <c r="D9" s="152">
        <f>IS!D38</f>
        <v>12.02098831</v>
      </c>
      <c r="E9" s="152">
        <f>IS!E38</f>
        <v>11.99153175</v>
      </c>
      <c r="F9" s="45">
        <v>12</v>
      </c>
      <c r="G9" s="45">
        <v>12</v>
      </c>
      <c r="H9" s="45">
        <v>12</v>
      </c>
      <c r="I9" s="45">
        <v>12</v>
      </c>
      <c r="J9" s="45">
        <v>12</v>
      </c>
      <c r="K9" s="45">
        <v>12</v>
      </c>
      <c r="L9" s="45">
        <v>12</v>
      </c>
      <c r="M9" s="45">
        <v>12</v>
      </c>
      <c r="N9" s="45">
        <v>12</v>
      </c>
      <c r="O9" s="45">
        <v>12</v>
      </c>
    </row>
    <row r="10" spans="1:15" s="147" customFormat="1" ht="15" customHeight="1" x14ac:dyDescent="0.2">
      <c r="B10" s="10" t="s">
        <v>171</v>
      </c>
      <c r="C10" s="196"/>
      <c r="D10" s="196"/>
      <c r="E10" s="196"/>
      <c r="F10" s="46">
        <v>0.52</v>
      </c>
      <c r="G10" s="46">
        <v>0.52</v>
      </c>
      <c r="H10" s="46">
        <v>0.52</v>
      </c>
      <c r="I10" s="46">
        <v>0.52</v>
      </c>
      <c r="J10" s="46">
        <v>0.52</v>
      </c>
      <c r="K10" s="46">
        <v>0.52</v>
      </c>
      <c r="L10" s="46">
        <v>0.52</v>
      </c>
      <c r="M10" s="46">
        <v>0.52</v>
      </c>
      <c r="N10" s="46">
        <v>0.52</v>
      </c>
      <c r="O10" s="46">
        <v>0.52</v>
      </c>
    </row>
    <row r="11" spans="1:15" s="147" customFormat="1" ht="15" customHeight="1" x14ac:dyDescent="0.2">
      <c r="B11" s="10" t="s">
        <v>279</v>
      </c>
      <c r="C11" s="191">
        <f>BS!C12/(IS!C22+Revenues!C32)</f>
        <v>9.1291774863841782E-2</v>
      </c>
      <c r="D11" s="191">
        <f>BS!D12/(IS!D22+Revenues!D32)</f>
        <v>0.12292295437147742</v>
      </c>
      <c r="E11" s="191">
        <f>BS!E12/(IS!E22+Revenues!E32)</f>
        <v>0.12938579186416482</v>
      </c>
      <c r="F11" s="46">
        <v>0.129</v>
      </c>
      <c r="G11" s="46">
        <v>0.129</v>
      </c>
      <c r="H11" s="46">
        <v>0.129</v>
      </c>
      <c r="I11" s="46">
        <v>0.129</v>
      </c>
      <c r="J11" s="46">
        <v>0.129</v>
      </c>
      <c r="K11" s="46">
        <v>0.129</v>
      </c>
      <c r="L11" s="46">
        <v>0.129</v>
      </c>
      <c r="M11" s="46">
        <v>0.129</v>
      </c>
      <c r="N11" s="46">
        <v>0.129</v>
      </c>
      <c r="O11" s="46">
        <v>0.129</v>
      </c>
    </row>
    <row r="12" spans="1:15" s="147" customFormat="1" ht="15" customHeight="1" x14ac:dyDescent="0.2">
      <c r="B12" s="10" t="s">
        <v>281</v>
      </c>
      <c r="C12" s="191">
        <f>BS!C13/IS!C26</f>
        <v>2.8072034511946963E-2</v>
      </c>
      <c r="D12" s="191">
        <f>BS!D13/IS!D26</f>
        <v>2.1393951676988879E-2</v>
      </c>
      <c r="E12" s="191">
        <f>BS!E13/IS!E26</f>
        <v>2.4420816074502624E-2</v>
      </c>
      <c r="F12" s="46">
        <v>2.4E-2</v>
      </c>
      <c r="G12" s="46">
        <v>2.4E-2</v>
      </c>
      <c r="H12" s="46">
        <v>2.4E-2</v>
      </c>
      <c r="I12" s="46">
        <v>2.4E-2</v>
      </c>
      <c r="J12" s="46">
        <v>2.4E-2</v>
      </c>
      <c r="K12" s="46">
        <v>2.4E-2</v>
      </c>
      <c r="L12" s="46">
        <v>2.4E-2</v>
      </c>
      <c r="M12" s="46">
        <v>2.4E-2</v>
      </c>
      <c r="N12" s="46">
        <v>2.4E-2</v>
      </c>
      <c r="O12" s="46">
        <v>2.4E-2</v>
      </c>
    </row>
    <row r="13" spans="1:15" s="155" customFormat="1" ht="15" customHeight="1" x14ac:dyDescent="0.2">
      <c r="B13" s="231" t="s">
        <v>276</v>
      </c>
      <c r="C13" s="197"/>
      <c r="D13" s="197"/>
      <c r="E13" s="191">
        <f>BS!E24/Revenues!E32</f>
        <v>9.4671121474698472E-2</v>
      </c>
      <c r="F13" s="46">
        <v>9.5000000000000001E-2</v>
      </c>
      <c r="G13" s="46">
        <v>9.5000000000000001E-2</v>
      </c>
      <c r="H13" s="46">
        <v>9.5000000000000001E-2</v>
      </c>
      <c r="I13" s="46">
        <v>9.5000000000000001E-2</v>
      </c>
      <c r="J13" s="46">
        <v>9.5000000000000001E-2</v>
      </c>
      <c r="K13" s="46">
        <v>9.5000000000000001E-2</v>
      </c>
      <c r="L13" s="46">
        <v>9.5000000000000001E-2</v>
      </c>
      <c r="M13" s="46">
        <v>9.5000000000000001E-2</v>
      </c>
      <c r="N13" s="46">
        <v>9.5000000000000001E-2</v>
      </c>
      <c r="O13" s="46">
        <v>9.5000000000000001E-2</v>
      </c>
    </row>
    <row r="14" spans="1:15" s="147" customFormat="1" ht="15" customHeight="1" x14ac:dyDescent="0.2">
      <c r="B14" s="240" t="s">
        <v>284</v>
      </c>
      <c r="C14" s="191">
        <f>BS!C25/IS!C30</f>
        <v>1.6175030437025941</v>
      </c>
      <c r="D14" s="191">
        <f>BS!D25/IS!D30</f>
        <v>1.5195281025468785</v>
      </c>
      <c r="E14" s="191">
        <f>BS!E25/IS!E30</f>
        <v>1.2001998866453525</v>
      </c>
      <c r="F14" s="46">
        <v>1.2</v>
      </c>
      <c r="G14" s="46">
        <v>1.2</v>
      </c>
      <c r="H14" s="46">
        <v>1.2</v>
      </c>
      <c r="I14" s="46">
        <v>1.2</v>
      </c>
      <c r="J14" s="46">
        <v>1.2</v>
      </c>
      <c r="K14" s="46">
        <v>1.2</v>
      </c>
      <c r="L14" s="46">
        <v>1.2</v>
      </c>
      <c r="M14" s="46">
        <v>1.2</v>
      </c>
      <c r="N14" s="46">
        <v>1.2</v>
      </c>
      <c r="O14" s="46">
        <v>1.2</v>
      </c>
    </row>
    <row r="15" spans="1:15" s="156" customFormat="1" ht="15" customHeight="1" x14ac:dyDescent="0.2">
      <c r="C15" s="151"/>
      <c r="D15" s="151"/>
      <c r="E15" s="151"/>
      <c r="F15" s="143"/>
    </row>
    <row r="16" spans="1:15" ht="15" customHeight="1" x14ac:dyDescent="0.2">
      <c r="A16" s="5" t="s">
        <v>140</v>
      </c>
      <c r="C16" s="160"/>
      <c r="D16" s="121"/>
      <c r="E16" s="121"/>
      <c r="L16" s="129"/>
      <c r="M16" s="129"/>
      <c r="N16" s="129"/>
      <c r="O16" s="129"/>
    </row>
    <row r="17" spans="1:15" ht="15" customHeight="1" x14ac:dyDescent="0.2">
      <c r="B17" s="2" t="s">
        <v>172</v>
      </c>
      <c r="F17" s="129">
        <f t="shared" ref="F17:O17" si="0">E20</f>
        <v>22.485582839999999</v>
      </c>
      <c r="G17" s="129">
        <f t="shared" si="0"/>
        <v>22.485582839999999</v>
      </c>
      <c r="H17" s="129">
        <f t="shared" si="0"/>
        <v>22.485582839999999</v>
      </c>
      <c r="I17" s="129">
        <f t="shared" si="0"/>
        <v>22.485582839999999</v>
      </c>
      <c r="J17" s="129">
        <f t="shared" si="0"/>
        <v>22.485582839999999</v>
      </c>
      <c r="K17" s="129">
        <f t="shared" si="0"/>
        <v>22.485582839999999</v>
      </c>
      <c r="L17" s="129">
        <f t="shared" si="0"/>
        <v>22.485582839999999</v>
      </c>
      <c r="M17" s="129">
        <f t="shared" si="0"/>
        <v>22.485582839999999</v>
      </c>
      <c r="N17" s="129">
        <f t="shared" si="0"/>
        <v>22.485582839999999</v>
      </c>
      <c r="O17" s="129">
        <f t="shared" si="0"/>
        <v>22.485582839999999</v>
      </c>
    </row>
    <row r="18" spans="1:15" ht="15" customHeight="1" x14ac:dyDescent="0.2">
      <c r="B18" s="13" t="s">
        <v>72</v>
      </c>
      <c r="D18" s="21"/>
      <c r="E18" s="21"/>
      <c r="F18" s="129">
        <f t="shared" ref="F18:O18" si="1">F8</f>
        <v>12</v>
      </c>
      <c r="G18" s="129">
        <f t="shared" si="1"/>
        <v>12</v>
      </c>
      <c r="H18" s="129">
        <f t="shared" si="1"/>
        <v>12</v>
      </c>
      <c r="I18" s="129">
        <f t="shared" si="1"/>
        <v>12</v>
      </c>
      <c r="J18" s="129">
        <f t="shared" si="1"/>
        <v>12</v>
      </c>
      <c r="K18" s="129">
        <f t="shared" si="1"/>
        <v>12</v>
      </c>
      <c r="L18" s="129">
        <f t="shared" si="1"/>
        <v>12</v>
      </c>
      <c r="M18" s="129">
        <f t="shared" si="1"/>
        <v>12</v>
      </c>
      <c r="N18" s="129">
        <f t="shared" si="1"/>
        <v>12</v>
      </c>
      <c r="O18" s="129">
        <f t="shared" si="1"/>
        <v>12</v>
      </c>
    </row>
    <row r="19" spans="1:15" ht="15" customHeight="1" x14ac:dyDescent="0.2">
      <c r="B19" s="2" t="s">
        <v>109</v>
      </c>
      <c r="D19" s="9"/>
      <c r="E19" s="9"/>
      <c r="F19" s="129">
        <f t="shared" ref="F19:O19" si="2">F9</f>
        <v>12</v>
      </c>
      <c r="G19" s="129">
        <f t="shared" si="2"/>
        <v>12</v>
      </c>
      <c r="H19" s="129">
        <f t="shared" si="2"/>
        <v>12</v>
      </c>
      <c r="I19" s="129">
        <f t="shared" si="2"/>
        <v>12</v>
      </c>
      <c r="J19" s="129">
        <f t="shared" si="2"/>
        <v>12</v>
      </c>
      <c r="K19" s="129">
        <f t="shared" si="2"/>
        <v>12</v>
      </c>
      <c r="L19" s="129">
        <f t="shared" si="2"/>
        <v>12</v>
      </c>
      <c r="M19" s="129">
        <f t="shared" si="2"/>
        <v>12</v>
      </c>
      <c r="N19" s="129">
        <f t="shared" si="2"/>
        <v>12</v>
      </c>
      <c r="O19" s="129">
        <f t="shared" si="2"/>
        <v>12</v>
      </c>
    </row>
    <row r="20" spans="1:15" ht="15" customHeight="1" x14ac:dyDescent="0.2">
      <c r="B20" s="2" t="s">
        <v>173</v>
      </c>
      <c r="E20" s="129">
        <f>BS!E18</f>
        <v>22.485582839999999</v>
      </c>
      <c r="F20" s="129">
        <f>F17+F18-F19</f>
        <v>22.485582839999999</v>
      </c>
      <c r="G20" s="129">
        <f t="shared" ref="G20:O20" si="3">G17+G18-G19</f>
        <v>22.485582839999999</v>
      </c>
      <c r="H20" s="129">
        <f t="shared" si="3"/>
        <v>22.485582839999999</v>
      </c>
      <c r="I20" s="129">
        <f t="shared" si="3"/>
        <v>22.485582839999999</v>
      </c>
      <c r="J20" s="129">
        <f t="shared" si="3"/>
        <v>22.485582839999999</v>
      </c>
      <c r="K20" s="129">
        <f t="shared" si="3"/>
        <v>22.485582839999999</v>
      </c>
      <c r="L20" s="129">
        <f t="shared" si="3"/>
        <v>22.485582839999999</v>
      </c>
      <c r="M20" s="129">
        <f t="shared" si="3"/>
        <v>22.485582839999999</v>
      </c>
      <c r="N20" s="129">
        <f t="shared" si="3"/>
        <v>22.485582839999999</v>
      </c>
      <c r="O20" s="129">
        <f t="shared" si="3"/>
        <v>22.485582839999999</v>
      </c>
    </row>
    <row r="21" spans="1:15" ht="15" customHeight="1" x14ac:dyDescent="0.2">
      <c r="L21" s="129"/>
      <c r="M21" s="129"/>
      <c r="N21" s="129"/>
      <c r="O21" s="129"/>
    </row>
    <row r="22" spans="1:15" ht="15" customHeight="1" x14ac:dyDescent="0.2">
      <c r="A22" s="5" t="s">
        <v>145</v>
      </c>
      <c r="L22" s="129"/>
      <c r="M22" s="129"/>
      <c r="N22" s="129"/>
      <c r="O22" s="129"/>
    </row>
    <row r="23" spans="1:15" ht="15" customHeight="1" x14ac:dyDescent="0.2">
      <c r="B23" s="2" t="s">
        <v>172</v>
      </c>
      <c r="F23" s="129">
        <f t="shared" ref="F23:O23" si="4">E26</f>
        <v>10215.50858878</v>
      </c>
      <c r="G23" s="129">
        <f t="shared" ca="1" si="4"/>
        <v>13403.252271854126</v>
      </c>
      <c r="H23" s="129">
        <f t="shared" ca="1" si="4"/>
        <v>17965.621341026304</v>
      </c>
      <c r="I23" s="129">
        <f t="shared" ca="1" si="4"/>
        <v>22070.075592005636</v>
      </c>
      <c r="J23" s="129">
        <f t="shared" ca="1" si="4"/>
        <v>26347.495702810287</v>
      </c>
      <c r="K23" s="129">
        <f t="shared" ca="1" si="4"/>
        <v>30829.501821722875</v>
      </c>
      <c r="L23" s="129">
        <f t="shared" ca="1" si="4"/>
        <v>35529.144852236372</v>
      </c>
      <c r="M23" s="129">
        <f t="shared" ca="1" si="4"/>
        <v>40445.27411823631</v>
      </c>
      <c r="N23" s="129">
        <f t="shared" ca="1" si="4"/>
        <v>45629.265829739081</v>
      </c>
      <c r="O23" s="129">
        <f t="shared" ca="1" si="4"/>
        <v>51107.244448982725</v>
      </c>
    </row>
    <row r="24" spans="1:15" ht="15" customHeight="1" x14ac:dyDescent="0.2">
      <c r="B24" s="2" t="s">
        <v>97</v>
      </c>
      <c r="F24" s="129">
        <f ca="1">IS!F49</f>
        <v>5231.537756751326</v>
      </c>
      <c r="G24" s="129">
        <f ca="1">IS!G49</f>
        <v>7282.7687026828662</v>
      </c>
      <c r="H24" s="129">
        <f ca="1">IS!H49</f>
        <v>7891.4939763744205</v>
      </c>
      <c r="I24" s="129">
        <f ca="1">IS!I49</f>
        <v>8380.9969785193498</v>
      </c>
      <c r="J24" s="129">
        <f ca="1">IS!J49</f>
        <v>8840.1245477426492</v>
      </c>
      <c r="K24" s="129">
        <f ca="1">IS!K49</f>
        <v>9296.5077953396722</v>
      </c>
      <c r="L24" s="129">
        <f ca="1">IS!L49</f>
        <v>9750.3133195765713</v>
      </c>
      <c r="M24" s="129">
        <f ca="1">IS!M49</f>
        <v>10254.154637682586</v>
      </c>
      <c r="N24" s="129">
        <f ca="1">IS!N49</f>
        <v>10810.139030838591</v>
      </c>
      <c r="O24" s="129">
        <f ca="1">IS!O49</f>
        <v>11323.181165064048</v>
      </c>
    </row>
    <row r="25" spans="1:15" ht="15" customHeight="1" x14ac:dyDescent="0.2">
      <c r="B25" s="2" t="s">
        <v>174</v>
      </c>
      <c r="F25" s="129">
        <f>MAX(IS!E49*Cals!F10,0)</f>
        <v>2043.7940736772005</v>
      </c>
      <c r="G25" s="129">
        <f ca="1">MAX(IS!F49*Cals!G10,0)</f>
        <v>2720.3996335106895</v>
      </c>
      <c r="H25" s="129">
        <f ca="1">MAX(IS!G49*Cals!H10,0)</f>
        <v>3787.0397253950905</v>
      </c>
      <c r="I25" s="129">
        <f ca="1">MAX(IS!H49*Cals!I10,0)</f>
        <v>4103.5768677146989</v>
      </c>
      <c r="J25" s="129">
        <f ca="1">MAX(IS!I49*Cals!J10,0)</f>
        <v>4358.1184288300619</v>
      </c>
      <c r="K25" s="129">
        <f ca="1">MAX(IS!J49*Cals!K10,0)</f>
        <v>4596.8647648261776</v>
      </c>
      <c r="L25" s="129">
        <f ca="1">MAX(IS!K49*Cals!L10,0)</f>
        <v>4834.1840535766296</v>
      </c>
      <c r="M25" s="129">
        <f ca="1">MAX(IS!L49*Cals!M10,0)</f>
        <v>5070.1629261798171</v>
      </c>
      <c r="N25" s="129">
        <f ca="1">MAX(IS!M49*Cals!N10,0)</f>
        <v>5332.1604115949449</v>
      </c>
      <c r="O25" s="129">
        <f ca="1">MAX(IS!N49*Cals!O10,0)</f>
        <v>5621.272296036067</v>
      </c>
    </row>
    <row r="26" spans="1:15" ht="15" customHeight="1" x14ac:dyDescent="0.2">
      <c r="B26" s="2" t="s">
        <v>173</v>
      </c>
      <c r="E26" s="129">
        <f>BS!E33</f>
        <v>10215.50858878</v>
      </c>
      <c r="F26" s="129">
        <f ca="1">F23+F24-F25</f>
        <v>13403.252271854126</v>
      </c>
      <c r="G26" s="129">
        <f t="shared" ref="G26:O26" ca="1" si="5">G23+G24-G25</f>
        <v>17965.621341026304</v>
      </c>
      <c r="H26" s="129">
        <f t="shared" ca="1" si="5"/>
        <v>22070.075592005636</v>
      </c>
      <c r="I26" s="129">
        <f t="shared" ca="1" si="5"/>
        <v>26347.495702810287</v>
      </c>
      <c r="J26" s="129">
        <f t="shared" ca="1" si="5"/>
        <v>30829.501821722875</v>
      </c>
      <c r="K26" s="129">
        <f t="shared" ca="1" si="5"/>
        <v>35529.144852236372</v>
      </c>
      <c r="L26" s="129">
        <f t="shared" ca="1" si="5"/>
        <v>40445.27411823631</v>
      </c>
      <c r="M26" s="129">
        <f t="shared" ca="1" si="5"/>
        <v>45629.265829739081</v>
      </c>
      <c r="N26" s="129">
        <f t="shared" ca="1" si="5"/>
        <v>51107.244448982725</v>
      </c>
      <c r="O26" s="129">
        <f t="shared" ca="1" si="5"/>
        <v>56809.153318010707</v>
      </c>
    </row>
    <row r="27" spans="1:15" ht="15" customHeight="1" x14ac:dyDescent="0.2">
      <c r="L27" s="129"/>
      <c r="M27" s="129"/>
      <c r="N27" s="129"/>
      <c r="O27" s="129"/>
    </row>
    <row r="28" spans="1:15" ht="15" customHeight="1" x14ac:dyDescent="0.2">
      <c r="A28" s="244" t="s">
        <v>285</v>
      </c>
      <c r="L28" s="129"/>
      <c r="M28" s="129"/>
      <c r="N28" s="129"/>
      <c r="O28" s="129"/>
    </row>
    <row r="29" spans="1:15" ht="15" customHeight="1" x14ac:dyDescent="0.2">
      <c r="B29" s="1" t="s">
        <v>137</v>
      </c>
      <c r="E29" s="129">
        <f>BS!E12</f>
        <v>2616.0759306999998</v>
      </c>
      <c r="F29" s="129">
        <f>(IS!F22+Revenues!F32)*Cals!F11</f>
        <v>2741.5619578620003</v>
      </c>
      <c r="G29" s="129">
        <f>(IS!G22+Revenues!G32)*Cals!G11</f>
        <v>2795.3932440945005</v>
      </c>
      <c r="H29" s="129">
        <f>(IS!H22+Revenues!H32)*Cals!H11</f>
        <v>2860.1507219670007</v>
      </c>
      <c r="I29" s="129">
        <f>(IS!I22+Revenues!I32)*Cals!I11</f>
        <v>2924.9081998395</v>
      </c>
      <c r="J29" s="129">
        <f>(IS!J22+Revenues!J32)*Cals!J11</f>
        <v>2989.6656777119997</v>
      </c>
      <c r="K29" s="129">
        <f>(IS!K22+Revenues!K32)*Cals!K11</f>
        <v>3054.4231555844999</v>
      </c>
      <c r="L29" s="129">
        <f>(IS!L22+Revenues!L32)*Cals!L11</f>
        <v>3119.1806334570001</v>
      </c>
      <c r="M29" s="129">
        <f>(IS!M22+Revenues!M32)*Cals!M11</f>
        <v>3185.9634152640006</v>
      </c>
      <c r="N29" s="129">
        <f>(IS!N22+Revenues!N32)*Cals!N11</f>
        <v>3252.7461970710001</v>
      </c>
      <c r="O29" s="129">
        <f>(IS!O22+Revenues!O32)*Cals!O11</f>
        <v>3319.5289788780005</v>
      </c>
    </row>
    <row r="30" spans="1:15" ht="15" customHeight="1" x14ac:dyDescent="0.2">
      <c r="B30" s="1" t="s">
        <v>138</v>
      </c>
      <c r="E30" s="129">
        <f>BS!E13</f>
        <v>232.79244879999999</v>
      </c>
      <c r="F30" s="129">
        <f>IS!F26*Cals!F12</f>
        <v>388.97336928240003</v>
      </c>
      <c r="G30" s="129">
        <f>IS!G26*Cals!G12</f>
        <v>566.87974624428</v>
      </c>
      <c r="H30" s="129">
        <f>IS!H26*Cals!H12</f>
        <v>580.01196036168017</v>
      </c>
      <c r="I30" s="129">
        <f>IS!I26*Cals!I12</f>
        <v>593.14417447907999</v>
      </c>
      <c r="J30" s="129">
        <f>IS!J26*Cals!J12</f>
        <v>606.27638859648005</v>
      </c>
      <c r="K30" s="129">
        <f>IS!K26*Cals!K12</f>
        <v>619.40860271387999</v>
      </c>
      <c r="L30" s="129">
        <f>IS!L26*Cals!L12</f>
        <v>632.54081683128004</v>
      </c>
      <c r="M30" s="129">
        <f>IS!M26*Cals!M12</f>
        <v>646.08374374656</v>
      </c>
      <c r="N30" s="129">
        <f>IS!N26*Cals!N12</f>
        <v>659.62667066183997</v>
      </c>
      <c r="O30" s="129">
        <f>IS!O26*Cals!O12</f>
        <v>673.16959757712004</v>
      </c>
    </row>
    <row r="31" spans="1:15" ht="15" customHeight="1" x14ac:dyDescent="0.2">
      <c r="L31" s="129"/>
      <c r="M31" s="129"/>
      <c r="N31" s="129"/>
      <c r="O31" s="129"/>
    </row>
    <row r="32" spans="1:15" s="147" customFormat="1" ht="15" customHeight="1" x14ac:dyDescent="0.2">
      <c r="B32" s="232" t="s">
        <v>277</v>
      </c>
      <c r="C32" s="152"/>
      <c r="D32" s="152"/>
      <c r="E32" s="152">
        <f>BS!E24</f>
        <v>1103.4929159399999</v>
      </c>
      <c r="F32" s="152">
        <f>Revenues!F32*Cals!F13</f>
        <v>618.33644460000005</v>
      </c>
      <c r="G32" s="152">
        <f>Revenues!G32*Cals!G13</f>
        <v>0</v>
      </c>
      <c r="H32" s="152">
        <f>Revenues!H32*Cals!H13</f>
        <v>0</v>
      </c>
      <c r="I32" s="152">
        <f>Revenues!I32*Cals!I13</f>
        <v>0</v>
      </c>
      <c r="J32" s="152">
        <f>Revenues!J32*Cals!J13</f>
        <v>0</v>
      </c>
      <c r="K32" s="152">
        <f>Revenues!K32*Cals!K13</f>
        <v>0</v>
      </c>
      <c r="L32" s="152">
        <f>Revenues!L32*Cals!L13</f>
        <v>0</v>
      </c>
      <c r="M32" s="152">
        <f>Revenues!M32*Cals!M13</f>
        <v>0</v>
      </c>
      <c r="N32" s="152">
        <f>Revenues!N32*Cals!N13</f>
        <v>0</v>
      </c>
      <c r="O32" s="152">
        <f>Revenues!O32*Cals!O13</f>
        <v>0</v>
      </c>
    </row>
    <row r="33" spans="2:15" ht="15" customHeight="1" x14ac:dyDescent="0.2">
      <c r="B33" s="239" t="s">
        <v>283</v>
      </c>
      <c r="E33" s="129">
        <f>BS!E25</f>
        <v>1804.5231584400001</v>
      </c>
      <c r="F33" s="129">
        <f>IS!F30*Cals!F14</f>
        <v>2110.1788728719998</v>
      </c>
      <c r="G33" s="129">
        <f>IS!G30*Cals!G14</f>
        <v>2860.4023893060003</v>
      </c>
      <c r="H33" s="129">
        <f>IS!H30*Cals!H14</f>
        <v>2926.6658550360007</v>
      </c>
      <c r="I33" s="129">
        <f>IS!I30*Cals!I14</f>
        <v>2992.9293207659998</v>
      </c>
      <c r="J33" s="129">
        <f>IS!J30*Cals!J14</f>
        <v>3059.1927864959994</v>
      </c>
      <c r="K33" s="129">
        <f>IS!K30*Cals!K14</f>
        <v>3125.4562522259998</v>
      </c>
      <c r="L33" s="129">
        <f>IS!L30*Cals!L14</f>
        <v>3191.7197179560003</v>
      </c>
      <c r="M33" s="129">
        <f>IS!M30*Cals!M14</f>
        <v>3260.055587712</v>
      </c>
      <c r="N33" s="129">
        <f>IS!N30*Cals!N14</f>
        <v>3328.3914574679998</v>
      </c>
      <c r="O33" s="129">
        <f>IS!O30*Cals!O14</f>
        <v>3396.7273272240004</v>
      </c>
    </row>
    <row r="34" spans="2:15" s="6" customFormat="1" ht="15" customHeight="1" x14ac:dyDescent="0.2">
      <c r="B34" s="244" t="s">
        <v>286</v>
      </c>
      <c r="C34" s="15"/>
      <c r="D34" s="15"/>
      <c r="E34" s="15">
        <f t="shared" ref="E34:O34" si="6">SUM(E29:E30)-SUM(E32:E33)</f>
        <v>-59.147694880000017</v>
      </c>
      <c r="F34" s="15">
        <f t="shared" si="6"/>
        <v>402.02000967240065</v>
      </c>
      <c r="G34" s="15">
        <f t="shared" si="6"/>
        <v>501.87060103278009</v>
      </c>
      <c r="H34" s="15">
        <f t="shared" si="6"/>
        <v>513.49682729267988</v>
      </c>
      <c r="I34" s="15">
        <f t="shared" si="6"/>
        <v>525.12305355258013</v>
      </c>
      <c r="J34" s="15">
        <f t="shared" si="6"/>
        <v>536.74927981248038</v>
      </c>
      <c r="K34" s="15">
        <f t="shared" si="6"/>
        <v>548.37550607238018</v>
      </c>
      <c r="L34" s="15">
        <f t="shared" si="6"/>
        <v>560.00173233227997</v>
      </c>
      <c r="M34" s="15">
        <f t="shared" si="6"/>
        <v>571.99157129856076</v>
      </c>
      <c r="N34" s="15">
        <f t="shared" si="6"/>
        <v>583.98141026484018</v>
      </c>
      <c r="O34" s="15">
        <f t="shared" si="6"/>
        <v>595.97124923112005</v>
      </c>
    </row>
    <row r="56" spans="1:15" ht="15" customHeight="1" x14ac:dyDescent="0.2">
      <c r="L56" s="129"/>
      <c r="M56" s="129"/>
    </row>
    <row r="57" spans="1:15" ht="15" customHeight="1" x14ac:dyDescent="0.2">
      <c r="L57" s="129"/>
      <c r="M57" s="129"/>
    </row>
    <row r="59" spans="1:15" s="149" customFormat="1" ht="15" customHeight="1" x14ac:dyDescent="0.2">
      <c r="A59" s="121"/>
      <c r="B59" s="121"/>
      <c r="C59" s="129"/>
      <c r="D59" s="129"/>
      <c r="E59" s="129"/>
      <c r="F59" s="129"/>
      <c r="G59" s="129"/>
      <c r="H59" s="129"/>
      <c r="I59" s="129"/>
      <c r="J59" s="129"/>
      <c r="K59" s="129"/>
      <c r="L59" s="121"/>
      <c r="M59" s="121"/>
      <c r="N59" s="121"/>
      <c r="O59" s="121"/>
    </row>
    <row r="70" spans="1:15" s="149" customFormat="1" ht="15" customHeight="1" x14ac:dyDescent="0.2">
      <c r="A70" s="121"/>
      <c r="B70" s="121"/>
      <c r="C70" s="129"/>
      <c r="D70" s="129"/>
      <c r="E70" s="129"/>
      <c r="F70" s="129"/>
      <c r="G70" s="129"/>
      <c r="H70" s="129"/>
      <c r="I70" s="129"/>
      <c r="J70" s="129"/>
      <c r="K70" s="129"/>
      <c r="L70" s="121"/>
      <c r="M70" s="121"/>
      <c r="N70" s="121"/>
      <c r="O70" s="121"/>
    </row>
    <row r="82" spans="12:15" ht="15" customHeight="1" x14ac:dyDescent="0.2">
      <c r="L82" s="149"/>
      <c r="M82" s="149"/>
      <c r="N82" s="149"/>
      <c r="O82" s="149"/>
    </row>
    <row r="93" spans="12:15" ht="15" customHeight="1" x14ac:dyDescent="0.2">
      <c r="L93" s="149"/>
      <c r="M93" s="149"/>
      <c r="N93" s="149"/>
      <c r="O93" s="149"/>
    </row>
  </sheetData>
  <phoneticPr fontId="2" type="noConversion"/>
  <printOptions horizontalCentered="1" verticalCentered="1" headings="1"/>
  <pageMargins left="0.74803149606299213" right="0.74803149606299213" top="0.98425196850393704" bottom="0.98425196850393704" header="0.51181102362204722" footer="0.51181102362204722"/>
  <pageSetup paperSize="9" scale="68" orientation="landscape" blackAndWhite="1" verticalDpi="1200" r:id="rId1"/>
  <headerFooter alignWithMargins="0">
    <oddHeader>&amp;L&amp;"宋体,常规"诚迅金融培训&amp;Rwww.chainshine.com</oddHeader>
    <oddFooter>第 &amp;P 页，共 &amp;N 页</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pageSetUpPr fitToPage="1"/>
  </sheetPr>
  <dimension ref="A1:O81"/>
  <sheetViews>
    <sheetView workbookViewId="0">
      <pane xSplit="2" ySplit="5" topLeftCell="C6" activePane="bottomRight" state="frozen"/>
      <selection activeCell="A6" sqref="A6"/>
      <selection pane="topRight" activeCell="A6" sqref="A6"/>
      <selection pane="bottomLeft" activeCell="A6" sqref="A6"/>
      <selection pane="bottomRight" activeCell="C6" sqref="C6"/>
    </sheetView>
  </sheetViews>
  <sheetFormatPr defaultColWidth="0" defaultRowHeight="15" customHeight="1" x14ac:dyDescent="0.2"/>
  <cols>
    <col min="1" max="1" width="1.7109375" style="121" customWidth="1"/>
    <col min="2" max="2" width="27.7109375" style="121" customWidth="1"/>
    <col min="3" max="15" width="10.7109375" style="121" customWidth="1"/>
    <col min="16" max="16" width="1.7109375" style="121" customWidth="1"/>
    <col min="17" max="16384" width="0" style="121" hidden="1"/>
  </cols>
  <sheetData>
    <row r="1" spans="1:15" ht="24" customHeight="1" x14ac:dyDescent="0.3">
      <c r="A1" s="110" t="s">
        <v>77</v>
      </c>
      <c r="B1" s="120"/>
      <c r="C1" s="111"/>
      <c r="D1" s="111"/>
      <c r="E1" s="111"/>
      <c r="F1" s="111"/>
      <c r="G1" s="111"/>
      <c r="H1" s="111"/>
      <c r="I1" s="111"/>
      <c r="J1" s="111"/>
      <c r="K1" s="111"/>
      <c r="L1" s="111"/>
      <c r="M1" s="111"/>
      <c r="N1" s="111"/>
      <c r="O1" s="111"/>
    </row>
    <row r="2" spans="1:15" ht="2.1" customHeight="1" x14ac:dyDescent="0.2">
      <c r="A2" s="26"/>
      <c r="B2" s="147"/>
      <c r="C2" s="112"/>
      <c r="D2" s="112"/>
      <c r="E2" s="112"/>
      <c r="F2" s="112"/>
      <c r="G2" s="112"/>
      <c r="H2" s="112"/>
      <c r="I2" s="112"/>
      <c r="J2" s="112"/>
      <c r="K2" s="112"/>
      <c r="L2" s="112"/>
      <c r="M2" s="112"/>
      <c r="N2" s="112"/>
      <c r="O2" s="112"/>
    </row>
    <row r="3" spans="1:15" ht="18" customHeight="1" x14ac:dyDescent="0.25">
      <c r="A3" s="210" t="s">
        <v>79</v>
      </c>
      <c r="B3" s="172"/>
      <c r="C3" s="172"/>
      <c r="D3" s="173"/>
      <c r="E3" s="173"/>
      <c r="F3" s="173"/>
      <c r="G3" s="173"/>
      <c r="H3" s="173"/>
      <c r="I3" s="173"/>
      <c r="J3" s="173"/>
      <c r="K3" s="173"/>
      <c r="L3" s="173"/>
      <c r="M3" s="173"/>
      <c r="N3" s="173"/>
      <c r="O3" s="173"/>
    </row>
    <row r="4" spans="1:15" ht="2.1" customHeight="1" x14ac:dyDescent="0.2">
      <c r="A4" s="174"/>
      <c r="B4" s="175"/>
      <c r="C4" s="175"/>
      <c r="D4" s="176"/>
      <c r="E4" s="176"/>
      <c r="F4" s="176"/>
      <c r="G4" s="176"/>
      <c r="H4" s="176"/>
      <c r="I4" s="176"/>
      <c r="J4" s="176"/>
      <c r="K4" s="176"/>
      <c r="L4" s="176"/>
      <c r="M4" s="108" t="s">
        <v>93</v>
      </c>
      <c r="N4" s="108" t="s">
        <v>93</v>
      </c>
      <c r="O4" s="108" t="s">
        <v>93</v>
      </c>
    </row>
    <row r="5" spans="1:15" ht="15" customHeight="1" x14ac:dyDescent="0.2">
      <c r="A5" s="113" t="s">
        <v>94</v>
      </c>
      <c r="C5" s="114">
        <v>39082</v>
      </c>
      <c r="D5" s="114">
        <v>39447</v>
      </c>
      <c r="E5" s="114">
        <v>39813</v>
      </c>
      <c r="F5" s="115">
        <v>40178</v>
      </c>
      <c r="G5" s="115">
        <v>40543</v>
      </c>
      <c r="H5" s="115">
        <v>40908</v>
      </c>
      <c r="I5" s="115">
        <v>41274</v>
      </c>
      <c r="J5" s="115">
        <v>41639</v>
      </c>
      <c r="K5" s="115">
        <v>42004</v>
      </c>
      <c r="L5" s="115">
        <v>42369</v>
      </c>
      <c r="M5" s="115">
        <v>42735</v>
      </c>
      <c r="N5" s="115">
        <v>43100</v>
      </c>
      <c r="O5" s="115">
        <v>43465</v>
      </c>
    </row>
    <row r="6" spans="1:15" ht="15" customHeight="1" x14ac:dyDescent="0.2">
      <c r="A6" s="29"/>
      <c r="B6" s="141"/>
      <c r="C6" s="159"/>
      <c r="D6" s="159"/>
      <c r="E6" s="159"/>
      <c r="F6" s="159"/>
      <c r="G6" s="159"/>
      <c r="H6" s="159"/>
      <c r="I6" s="159"/>
      <c r="J6" s="159"/>
      <c r="K6" s="159"/>
      <c r="L6" s="159"/>
      <c r="M6" s="159"/>
      <c r="N6" s="159"/>
      <c r="O6" s="159"/>
    </row>
    <row r="7" spans="1:15" ht="15" customHeight="1" x14ac:dyDescent="0.2">
      <c r="A7" s="36" t="s">
        <v>106</v>
      </c>
      <c r="B7" s="148"/>
      <c r="C7" s="24"/>
      <c r="D7" s="24"/>
      <c r="E7" s="24"/>
      <c r="F7" s="44"/>
      <c r="G7" s="44"/>
      <c r="H7" s="44"/>
      <c r="I7" s="44"/>
      <c r="J7" s="44"/>
      <c r="K7" s="44"/>
      <c r="L7" s="44"/>
      <c r="M7" s="44"/>
      <c r="N7" s="44"/>
      <c r="O7" s="44"/>
    </row>
    <row r="8" spans="1:15" s="147" customFormat="1" ht="15" customHeight="1" x14ac:dyDescent="0.2">
      <c r="B8" s="13" t="s">
        <v>147</v>
      </c>
      <c r="C8" s="191">
        <f>C23/Revenues!C32</f>
        <v>2.1114272320156779E-2</v>
      </c>
      <c r="D8" s="191">
        <f>D23/Revenues!D32</f>
        <v>2.2338105079762423E-2</v>
      </c>
      <c r="E8" s="191">
        <f>E23/Revenues!E32</f>
        <v>2.0930656451797272E-2</v>
      </c>
      <c r="F8" s="46">
        <v>2.1000000000000001E-2</v>
      </c>
      <c r="G8" s="46">
        <v>2.1000000000000001E-2</v>
      </c>
      <c r="H8" s="46">
        <v>2.1000000000000001E-2</v>
      </c>
      <c r="I8" s="46">
        <v>2.1000000000000001E-2</v>
      </c>
      <c r="J8" s="46">
        <v>2.1000000000000001E-2</v>
      </c>
      <c r="K8" s="46">
        <v>2.1000000000000001E-2</v>
      </c>
      <c r="L8" s="46">
        <v>2.1000000000000001E-2</v>
      </c>
      <c r="M8" s="46">
        <v>2.1000000000000001E-2</v>
      </c>
      <c r="N8" s="46">
        <v>2.1000000000000001E-2</v>
      </c>
      <c r="O8" s="46">
        <v>2.1000000000000001E-2</v>
      </c>
    </row>
    <row r="9" spans="1:15" ht="15" customHeight="1" x14ac:dyDescent="0.2">
      <c r="A9" s="26"/>
      <c r="B9" s="13" t="s">
        <v>148</v>
      </c>
      <c r="C9" s="143">
        <f>C25/C22</f>
        <v>8.9595401931357663E-2</v>
      </c>
      <c r="D9" s="143">
        <f>D25/D22</f>
        <v>8.6531799155441305E-2</v>
      </c>
      <c r="E9" s="143">
        <f>E25/E22</f>
        <v>8.471783266563529E-2</v>
      </c>
      <c r="F9" s="46">
        <v>0.09</v>
      </c>
      <c r="G9" s="46">
        <v>0.09</v>
      </c>
      <c r="H9" s="46">
        <v>0.09</v>
      </c>
      <c r="I9" s="46">
        <v>0.09</v>
      </c>
      <c r="J9" s="46">
        <v>0.09</v>
      </c>
      <c r="K9" s="46">
        <v>0.09</v>
      </c>
      <c r="L9" s="46">
        <v>0.09</v>
      </c>
      <c r="M9" s="46">
        <v>0.09</v>
      </c>
      <c r="N9" s="46">
        <v>0.09</v>
      </c>
      <c r="O9" s="46">
        <v>0.09</v>
      </c>
    </row>
    <row r="10" spans="1:15" s="147" customFormat="1" ht="15" customHeight="1" x14ac:dyDescent="0.2">
      <c r="B10" s="10" t="s">
        <v>149</v>
      </c>
      <c r="C10" s="191">
        <f t="shared" ref="C10:E11" si="0">C28/C22</f>
        <v>9.5344568294948709E-2</v>
      </c>
      <c r="D10" s="191">
        <f t="shared" si="0"/>
        <v>8.2655054714477483E-2</v>
      </c>
      <c r="E10" s="191">
        <f t="shared" si="0"/>
        <v>0.14495428839224989</v>
      </c>
      <c r="F10" s="46">
        <v>0.11</v>
      </c>
      <c r="G10" s="46">
        <v>0.11</v>
      </c>
      <c r="H10" s="46">
        <v>0.11</v>
      </c>
      <c r="I10" s="46">
        <v>0.11</v>
      </c>
      <c r="J10" s="46">
        <v>0.11</v>
      </c>
      <c r="K10" s="46">
        <v>0.11</v>
      </c>
      <c r="L10" s="46">
        <v>0.11</v>
      </c>
      <c r="M10" s="46">
        <v>0.11</v>
      </c>
      <c r="N10" s="46">
        <v>0.11</v>
      </c>
      <c r="O10" s="46">
        <v>0.11</v>
      </c>
    </row>
    <row r="11" spans="1:15" s="147" customFormat="1" ht="15" customHeight="1" x14ac:dyDescent="0.2">
      <c r="B11" s="13" t="s">
        <v>150</v>
      </c>
      <c r="C11" s="192">
        <f t="shared" si="0"/>
        <v>0.8013612869287805</v>
      </c>
      <c r="D11" s="192">
        <f t="shared" si="0"/>
        <v>1.2908293729486855</v>
      </c>
      <c r="E11" s="192">
        <f t="shared" si="0"/>
        <v>1.0749614113770916</v>
      </c>
      <c r="F11" s="46">
        <v>1</v>
      </c>
      <c r="G11" s="46">
        <v>1</v>
      </c>
      <c r="H11" s="46">
        <v>1</v>
      </c>
      <c r="I11" s="46">
        <v>1</v>
      </c>
      <c r="J11" s="46">
        <v>1</v>
      </c>
      <c r="K11" s="46">
        <v>1</v>
      </c>
      <c r="L11" s="46">
        <v>1</v>
      </c>
      <c r="M11" s="46">
        <v>1</v>
      </c>
      <c r="N11" s="46">
        <v>1</v>
      </c>
      <c r="O11" s="46">
        <v>1</v>
      </c>
    </row>
    <row r="12" spans="1:15" s="147" customFormat="1" ht="15" customHeight="1" x14ac:dyDescent="0.2">
      <c r="B12" s="10" t="s">
        <v>151</v>
      </c>
      <c r="C12" s="191">
        <f>C32/C22</f>
        <v>1.5780382998102794E-2</v>
      </c>
      <c r="D12" s="191">
        <f>D32/D22</f>
        <v>1.5622649657687622E-2</v>
      </c>
      <c r="E12" s="191">
        <f>E32/E22</f>
        <v>1.6418184209549911E-2</v>
      </c>
      <c r="F12" s="46">
        <v>1.6E-2</v>
      </c>
      <c r="G12" s="46">
        <v>1.6E-2</v>
      </c>
      <c r="H12" s="46">
        <v>1.6E-2</v>
      </c>
      <c r="I12" s="46">
        <v>1.6E-2</v>
      </c>
      <c r="J12" s="46">
        <v>1.6E-2</v>
      </c>
      <c r="K12" s="46">
        <v>1.6E-2</v>
      </c>
      <c r="L12" s="46">
        <v>1.6E-2</v>
      </c>
      <c r="M12" s="46">
        <v>1.6E-2</v>
      </c>
      <c r="N12" s="46">
        <v>1.6E-2</v>
      </c>
      <c r="O12" s="46">
        <v>1.6E-2</v>
      </c>
    </row>
    <row r="13" spans="1:15" s="147" customFormat="1" ht="15" customHeight="1" x14ac:dyDescent="0.2">
      <c r="B13" s="10" t="s">
        <v>152</v>
      </c>
      <c r="C13" s="123">
        <f>C33</f>
        <v>1.56533327</v>
      </c>
      <c r="D13" s="123">
        <f>D33</f>
        <v>2.1883362700000002</v>
      </c>
      <c r="E13" s="123">
        <f>E33</f>
        <v>1.4355382999999999</v>
      </c>
      <c r="F13" s="45">
        <v>2</v>
      </c>
      <c r="G13" s="45">
        <v>2</v>
      </c>
      <c r="H13" s="45">
        <v>2</v>
      </c>
      <c r="I13" s="45">
        <v>2</v>
      </c>
      <c r="J13" s="45">
        <v>2</v>
      </c>
      <c r="K13" s="45">
        <v>2</v>
      </c>
      <c r="L13" s="45">
        <v>2</v>
      </c>
      <c r="M13" s="45">
        <v>2</v>
      </c>
      <c r="N13" s="45">
        <v>2</v>
      </c>
      <c r="O13" s="45">
        <v>2</v>
      </c>
    </row>
    <row r="14" spans="1:15" s="147" customFormat="1" ht="15" customHeight="1" x14ac:dyDescent="0.2">
      <c r="B14" s="10" t="s">
        <v>153</v>
      </c>
      <c r="C14" s="191"/>
      <c r="D14" s="191">
        <f>D34/C34-1</f>
        <v>0.19718272309191254</v>
      </c>
      <c r="E14" s="191">
        <f>E34/D34-1</f>
        <v>2.0088196394746571E-2</v>
      </c>
      <c r="F14" s="46">
        <v>0.08</v>
      </c>
      <c r="G14" s="46">
        <v>0.08</v>
      </c>
      <c r="H14" s="46">
        <v>0.08</v>
      </c>
      <c r="I14" s="46">
        <v>0.08</v>
      </c>
      <c r="J14" s="46">
        <v>0.08</v>
      </c>
      <c r="K14" s="46">
        <v>0.08</v>
      </c>
      <c r="L14" s="46">
        <v>0.08</v>
      </c>
      <c r="M14" s="46">
        <v>0.08</v>
      </c>
      <c r="N14" s="46">
        <v>0.08</v>
      </c>
      <c r="O14" s="46">
        <v>0.08</v>
      </c>
    </row>
    <row r="15" spans="1:15" s="147" customFormat="1" ht="15" customHeight="1" x14ac:dyDescent="0.2">
      <c r="B15" s="10" t="s">
        <v>154</v>
      </c>
      <c r="C15" s="123">
        <f t="shared" ref="C15:E18" si="1">C42</f>
        <v>-1.38408858</v>
      </c>
      <c r="D15" s="123">
        <f t="shared" si="1"/>
        <v>0.44766140000000004</v>
      </c>
      <c r="E15" s="123">
        <f t="shared" si="1"/>
        <v>0.81427145999999995</v>
      </c>
      <c r="F15" s="45">
        <v>0</v>
      </c>
      <c r="G15" s="45">
        <v>0</v>
      </c>
      <c r="H15" s="45">
        <v>0</v>
      </c>
      <c r="I15" s="45">
        <v>0</v>
      </c>
      <c r="J15" s="45">
        <v>0</v>
      </c>
      <c r="K15" s="45">
        <v>0</v>
      </c>
      <c r="L15" s="45">
        <v>0</v>
      </c>
      <c r="M15" s="45">
        <v>0</v>
      </c>
      <c r="N15" s="45">
        <v>0</v>
      </c>
      <c r="O15" s="45">
        <v>0</v>
      </c>
    </row>
    <row r="16" spans="1:15" s="147" customFormat="1" ht="15" customHeight="1" x14ac:dyDescent="0.2">
      <c r="B16" s="10" t="s">
        <v>115</v>
      </c>
      <c r="C16" s="123">
        <f t="shared" si="1"/>
        <v>-11.667360560000001</v>
      </c>
      <c r="D16" s="123">
        <f t="shared" si="1"/>
        <v>0</v>
      </c>
      <c r="E16" s="123">
        <f t="shared" si="1"/>
        <v>0</v>
      </c>
      <c r="F16" s="45">
        <v>0</v>
      </c>
      <c r="G16" s="45">
        <v>0</v>
      </c>
      <c r="H16" s="45">
        <v>0</v>
      </c>
      <c r="I16" s="45">
        <v>0</v>
      </c>
      <c r="J16" s="45">
        <v>0</v>
      </c>
      <c r="K16" s="45">
        <v>0</v>
      </c>
      <c r="L16" s="45">
        <v>0</v>
      </c>
      <c r="M16" s="45">
        <v>0</v>
      </c>
      <c r="N16" s="45">
        <v>0</v>
      </c>
      <c r="O16" s="45">
        <v>0</v>
      </c>
    </row>
    <row r="17" spans="1:15" s="147" customFormat="1" ht="15" customHeight="1" x14ac:dyDescent="0.2">
      <c r="B17" s="10" t="s">
        <v>116</v>
      </c>
      <c r="C17" s="123">
        <f t="shared" si="1"/>
        <v>870.03217162999999</v>
      </c>
      <c r="D17" s="123">
        <f t="shared" si="1"/>
        <v>2094.7680341</v>
      </c>
      <c r="E17" s="123">
        <f t="shared" si="1"/>
        <v>439.19175109999998</v>
      </c>
      <c r="F17" s="45">
        <v>0</v>
      </c>
      <c r="G17" s="45">
        <v>0</v>
      </c>
      <c r="H17" s="45">
        <v>0</v>
      </c>
      <c r="I17" s="45">
        <v>0</v>
      </c>
      <c r="J17" s="45">
        <v>0</v>
      </c>
      <c r="K17" s="45">
        <v>0</v>
      </c>
      <c r="L17" s="45">
        <v>0</v>
      </c>
      <c r="M17" s="45">
        <v>0</v>
      </c>
      <c r="N17" s="45">
        <v>0</v>
      </c>
      <c r="O17" s="45">
        <v>0</v>
      </c>
    </row>
    <row r="18" spans="1:15" s="147" customFormat="1" ht="15" customHeight="1" x14ac:dyDescent="0.2">
      <c r="B18" s="10" t="s">
        <v>155</v>
      </c>
      <c r="C18" s="123">
        <f t="shared" si="1"/>
        <v>11.606522550000022</v>
      </c>
      <c r="D18" s="123">
        <f t="shared" si="1"/>
        <v>-17.814834350000069</v>
      </c>
      <c r="E18" s="123">
        <f t="shared" si="1"/>
        <v>-15.337714469999998</v>
      </c>
      <c r="F18" s="45">
        <v>0</v>
      </c>
      <c r="G18" s="45">
        <v>0</v>
      </c>
      <c r="H18" s="45">
        <v>0</v>
      </c>
      <c r="I18" s="45">
        <v>0</v>
      </c>
      <c r="J18" s="45">
        <v>0</v>
      </c>
      <c r="K18" s="45">
        <v>0</v>
      </c>
      <c r="L18" s="45">
        <v>0</v>
      </c>
      <c r="M18" s="45">
        <v>0</v>
      </c>
      <c r="N18" s="45">
        <v>0</v>
      </c>
      <c r="O18" s="45">
        <v>0</v>
      </c>
    </row>
    <row r="19" spans="1:15" s="147" customFormat="1" ht="15" customHeight="1" x14ac:dyDescent="0.2">
      <c r="B19" s="10" t="s">
        <v>274</v>
      </c>
      <c r="C19" s="191">
        <f>C48/C46</f>
        <v>0.32794223906062347</v>
      </c>
      <c r="D19" s="191">
        <f>D48/D46</f>
        <v>0.29242933591551418</v>
      </c>
      <c r="E19" s="191">
        <f>E48/E46</f>
        <v>0.24197089511759517</v>
      </c>
      <c r="F19" s="46">
        <v>0.25</v>
      </c>
      <c r="G19" s="46">
        <v>0.25</v>
      </c>
      <c r="H19" s="46">
        <v>0.25</v>
      </c>
      <c r="I19" s="46">
        <v>0.25</v>
      </c>
      <c r="J19" s="46">
        <v>0.25</v>
      </c>
      <c r="K19" s="46">
        <v>0.25</v>
      </c>
      <c r="L19" s="46">
        <v>0.25</v>
      </c>
      <c r="M19" s="46">
        <v>0.25</v>
      </c>
      <c r="N19" s="46">
        <v>0.25</v>
      </c>
      <c r="O19" s="46">
        <v>0.25</v>
      </c>
    </row>
    <row r="20" spans="1:15" ht="15" customHeight="1" x14ac:dyDescent="0.2">
      <c r="B20" s="141"/>
      <c r="C20" s="142"/>
      <c r="D20" s="142"/>
      <c r="E20" s="142"/>
      <c r="F20" s="129"/>
    </row>
    <row r="21" spans="1:15" ht="15" customHeight="1" x14ac:dyDescent="0.2">
      <c r="A21" s="36" t="s">
        <v>156</v>
      </c>
      <c r="B21" s="148"/>
      <c r="C21" s="147"/>
      <c r="D21" s="147"/>
      <c r="E21" s="147"/>
      <c r="F21" s="147"/>
      <c r="G21" s="147"/>
      <c r="H21" s="147"/>
      <c r="I21" s="147"/>
      <c r="J21" s="147"/>
      <c r="K21" s="147"/>
      <c r="L21" s="147"/>
      <c r="M21" s="147"/>
      <c r="N21" s="147"/>
      <c r="O21" s="147"/>
    </row>
    <row r="22" spans="1:15" ht="15" customHeight="1" x14ac:dyDescent="0.2">
      <c r="A22" s="26"/>
      <c r="B22" s="13" t="s">
        <v>157</v>
      </c>
      <c r="C22" s="8">
        <v>6917.8299799899996</v>
      </c>
      <c r="D22" s="8">
        <v>8577.4658573399993</v>
      </c>
      <c r="E22" s="8">
        <v>8563.1233677</v>
      </c>
      <c r="F22" s="152">
        <f>Revenues!F43</f>
        <v>14743.613598</v>
      </c>
      <c r="G22" s="152">
        <f>Revenues!G43</f>
        <v>21669.715070500002</v>
      </c>
      <c r="H22" s="152">
        <f>Revenues!H43</f>
        <v>22171.711023000003</v>
      </c>
      <c r="I22" s="152">
        <f>Revenues!I43</f>
        <v>22673.706975499997</v>
      </c>
      <c r="J22" s="152">
        <f>Revenues!J43</f>
        <v>23175.702927999999</v>
      </c>
      <c r="K22" s="152">
        <f>Revenues!K43</f>
        <v>23677.6988805</v>
      </c>
      <c r="L22" s="152">
        <f>Revenues!L43</f>
        <v>24179.694833000001</v>
      </c>
      <c r="M22" s="152">
        <f>Revenues!M43</f>
        <v>24697.390816000003</v>
      </c>
      <c r="N22" s="152">
        <f>Revenues!N43</f>
        <v>25215.086799000001</v>
      </c>
      <c r="O22" s="152">
        <f>Revenues!O43</f>
        <v>25732.782782000002</v>
      </c>
    </row>
    <row r="23" spans="1:15" ht="15" customHeight="1" x14ac:dyDescent="0.2">
      <c r="B23" s="1" t="s">
        <v>158</v>
      </c>
      <c r="C23" s="8">
        <v>131.3261857</v>
      </c>
      <c r="D23" s="8">
        <v>157.92582806999999</v>
      </c>
      <c r="E23" s="8">
        <v>243.96912977</v>
      </c>
      <c r="F23" s="129">
        <f>Revenues!F32*F8</f>
        <v>136.68489828</v>
      </c>
      <c r="G23" s="129">
        <f>Revenues!G32*G8</f>
        <v>0</v>
      </c>
      <c r="H23" s="129">
        <f>Revenues!H32*H8</f>
        <v>0</v>
      </c>
      <c r="I23" s="129">
        <f>Revenues!I32*I8</f>
        <v>0</v>
      </c>
      <c r="J23" s="129">
        <f>Revenues!J32*J8</f>
        <v>0</v>
      </c>
      <c r="K23" s="129">
        <f>Revenues!K32*K8</f>
        <v>0</v>
      </c>
      <c r="L23" s="129">
        <f>Revenues!L32*L8</f>
        <v>0</v>
      </c>
      <c r="M23" s="129">
        <f>Revenues!M32*M8</f>
        <v>0</v>
      </c>
      <c r="N23" s="129">
        <f>Revenues!N32*N8</f>
        <v>0</v>
      </c>
      <c r="O23" s="129">
        <f>Revenues!O32*O8</f>
        <v>0</v>
      </c>
    </row>
    <row r="24" spans="1:15" ht="15" customHeight="1" x14ac:dyDescent="0.2">
      <c r="B24" s="4" t="s">
        <v>160</v>
      </c>
      <c r="C24" s="15">
        <f>SUM(C22:C23)</f>
        <v>7049.1561656899994</v>
      </c>
      <c r="D24" s="15">
        <f t="shared" ref="D24:O24" si="2">SUM(D22:D23)</f>
        <v>8735.3916854099989</v>
      </c>
      <c r="E24" s="15">
        <f t="shared" si="2"/>
        <v>8807.0924974699992</v>
      </c>
      <c r="F24" s="15">
        <f t="shared" si="2"/>
        <v>14880.29849628</v>
      </c>
      <c r="G24" s="15">
        <f t="shared" si="2"/>
        <v>21669.715070500002</v>
      </c>
      <c r="H24" s="15">
        <f t="shared" si="2"/>
        <v>22171.711023000003</v>
      </c>
      <c r="I24" s="15">
        <f t="shared" si="2"/>
        <v>22673.706975499997</v>
      </c>
      <c r="J24" s="15">
        <f t="shared" si="2"/>
        <v>23175.702927999999</v>
      </c>
      <c r="K24" s="15">
        <f t="shared" si="2"/>
        <v>23677.6988805</v>
      </c>
      <c r="L24" s="15">
        <f t="shared" si="2"/>
        <v>24179.694833000001</v>
      </c>
      <c r="M24" s="15">
        <f t="shared" si="2"/>
        <v>24697.390816000003</v>
      </c>
      <c r="N24" s="15">
        <f t="shared" si="2"/>
        <v>25215.086799000001</v>
      </c>
      <c r="O24" s="15">
        <f t="shared" si="2"/>
        <v>25732.782782000002</v>
      </c>
    </row>
    <row r="25" spans="1:15" ht="15" customHeight="1" x14ac:dyDescent="0.2">
      <c r="B25" s="1" t="s">
        <v>159</v>
      </c>
      <c r="C25" s="8">
        <v>619.80575754999995</v>
      </c>
      <c r="D25" s="8">
        <v>742.22355283000002</v>
      </c>
      <c r="E25" s="8">
        <v>725.44925255999999</v>
      </c>
      <c r="F25" s="129">
        <f t="shared" ref="F25:O25" si="3">F9*F22</f>
        <v>1326.9252238199999</v>
      </c>
      <c r="G25" s="129">
        <f t="shared" si="3"/>
        <v>1950.2743563450001</v>
      </c>
      <c r="H25" s="129">
        <f t="shared" si="3"/>
        <v>1995.4539920700001</v>
      </c>
      <c r="I25" s="129">
        <f t="shared" si="3"/>
        <v>2040.6336277949997</v>
      </c>
      <c r="J25" s="129">
        <f t="shared" si="3"/>
        <v>2085.81326352</v>
      </c>
      <c r="K25" s="129">
        <f t="shared" si="3"/>
        <v>2130.992899245</v>
      </c>
      <c r="L25" s="129">
        <f t="shared" si="3"/>
        <v>2176.17253497</v>
      </c>
      <c r="M25" s="129">
        <f t="shared" si="3"/>
        <v>2222.7651734400001</v>
      </c>
      <c r="N25" s="129">
        <f t="shared" si="3"/>
        <v>2269.3578119099998</v>
      </c>
      <c r="O25" s="129">
        <f t="shared" si="3"/>
        <v>2315.9504503799999</v>
      </c>
    </row>
    <row r="26" spans="1:15" s="6" customFormat="1" ht="15" customHeight="1" x14ac:dyDescent="0.2">
      <c r="B26" s="5" t="s">
        <v>278</v>
      </c>
      <c r="C26" s="15">
        <f>C24+C25</f>
        <v>7668.9619232399991</v>
      </c>
      <c r="D26" s="15">
        <f t="shared" ref="D26:O26" si="4">D24+D25</f>
        <v>9477.6152382399996</v>
      </c>
      <c r="E26" s="15">
        <f t="shared" si="4"/>
        <v>9532.5417500299991</v>
      </c>
      <c r="F26" s="15">
        <f t="shared" si="4"/>
        <v>16207.223720100001</v>
      </c>
      <c r="G26" s="15">
        <f t="shared" si="4"/>
        <v>23619.989426845001</v>
      </c>
      <c r="H26" s="15">
        <f t="shared" si="4"/>
        <v>24167.165015070004</v>
      </c>
      <c r="I26" s="15">
        <f t="shared" si="4"/>
        <v>24714.340603294997</v>
      </c>
      <c r="J26" s="15">
        <f t="shared" si="4"/>
        <v>25261.516191520001</v>
      </c>
      <c r="K26" s="15">
        <f t="shared" si="4"/>
        <v>25808.691779745001</v>
      </c>
      <c r="L26" s="15">
        <f t="shared" si="4"/>
        <v>26355.86736797</v>
      </c>
      <c r="M26" s="15">
        <f t="shared" si="4"/>
        <v>26920.155989440002</v>
      </c>
      <c r="N26" s="15">
        <f t="shared" si="4"/>
        <v>27484.444610909999</v>
      </c>
      <c r="O26" s="15">
        <f t="shared" si="4"/>
        <v>28048.73323238</v>
      </c>
    </row>
    <row r="27" spans="1:15" ht="15" customHeight="1" x14ac:dyDescent="0.2">
      <c r="B27" s="25"/>
      <c r="C27" s="12"/>
      <c r="D27" s="12"/>
      <c r="E27" s="12"/>
      <c r="F27" s="12"/>
      <c r="G27" s="12"/>
      <c r="H27" s="12"/>
      <c r="I27" s="12"/>
      <c r="J27" s="12"/>
      <c r="K27" s="12"/>
      <c r="L27" s="12"/>
      <c r="M27" s="12"/>
      <c r="N27" s="12"/>
      <c r="O27" s="12"/>
    </row>
    <row r="28" spans="1:15" ht="15" customHeight="1" x14ac:dyDescent="0.2">
      <c r="B28" s="1" t="s">
        <v>161</v>
      </c>
      <c r="C28" s="8">
        <v>659.57751298000017</v>
      </c>
      <c r="D28" s="8">
        <v>708.97090975000015</v>
      </c>
      <c r="E28" s="8">
        <v>1241.2614541799999</v>
      </c>
      <c r="F28" s="129">
        <f t="shared" ref="F28:O28" si="5">F22*F10</f>
        <v>1621.79749578</v>
      </c>
      <c r="G28" s="129">
        <f t="shared" si="5"/>
        <v>2383.6686577550004</v>
      </c>
      <c r="H28" s="129">
        <f t="shared" si="5"/>
        <v>2438.8882125300006</v>
      </c>
      <c r="I28" s="129">
        <f t="shared" si="5"/>
        <v>2494.1077673049999</v>
      </c>
      <c r="J28" s="129">
        <f t="shared" si="5"/>
        <v>2549.3273220799997</v>
      </c>
      <c r="K28" s="129">
        <f t="shared" si="5"/>
        <v>2604.5468768549999</v>
      </c>
      <c r="L28" s="129">
        <f t="shared" si="5"/>
        <v>2659.7664316300002</v>
      </c>
      <c r="M28" s="129">
        <f t="shared" si="5"/>
        <v>2716.7129897600003</v>
      </c>
      <c r="N28" s="129">
        <f t="shared" si="5"/>
        <v>2773.6595478899999</v>
      </c>
      <c r="O28" s="129">
        <f t="shared" si="5"/>
        <v>2830.6061060200004</v>
      </c>
    </row>
    <row r="29" spans="1:15" ht="15" customHeight="1" x14ac:dyDescent="0.2">
      <c r="B29" s="1" t="s">
        <v>162</v>
      </c>
      <c r="C29" s="8">
        <v>105.23972118</v>
      </c>
      <c r="D29" s="8">
        <v>203.85529762000002</v>
      </c>
      <c r="E29" s="8">
        <v>262.25740007000002</v>
      </c>
      <c r="F29" s="152">
        <f t="shared" ref="F29:O29" si="6">F11*F23</f>
        <v>136.68489828</v>
      </c>
      <c r="G29" s="152">
        <f t="shared" si="6"/>
        <v>0</v>
      </c>
      <c r="H29" s="152">
        <f t="shared" si="6"/>
        <v>0</v>
      </c>
      <c r="I29" s="152">
        <f t="shared" si="6"/>
        <v>0</v>
      </c>
      <c r="J29" s="152">
        <f t="shared" si="6"/>
        <v>0</v>
      </c>
      <c r="K29" s="152">
        <f t="shared" si="6"/>
        <v>0</v>
      </c>
      <c r="L29" s="152">
        <f t="shared" si="6"/>
        <v>0</v>
      </c>
      <c r="M29" s="152">
        <f t="shared" si="6"/>
        <v>0</v>
      </c>
      <c r="N29" s="152">
        <f t="shared" si="6"/>
        <v>0</v>
      </c>
      <c r="O29" s="152">
        <f t="shared" si="6"/>
        <v>0</v>
      </c>
    </row>
    <row r="30" spans="1:15" s="6" customFormat="1" ht="15" customHeight="1" x14ac:dyDescent="0.2">
      <c r="B30" s="35" t="s">
        <v>163</v>
      </c>
      <c r="C30" s="42">
        <f>C28+C29</f>
        <v>764.81723416000023</v>
      </c>
      <c r="D30" s="42">
        <f>D28+D29</f>
        <v>912.82620737000013</v>
      </c>
      <c r="E30" s="42">
        <f>E28+E29</f>
        <v>1503.51885425</v>
      </c>
      <c r="F30" s="42">
        <f>F28+F29</f>
        <v>1758.4823940599999</v>
      </c>
      <c r="G30" s="42">
        <f t="shared" ref="G30:O30" si="7">G28+G29</f>
        <v>2383.6686577550004</v>
      </c>
      <c r="H30" s="42">
        <f t="shared" si="7"/>
        <v>2438.8882125300006</v>
      </c>
      <c r="I30" s="42">
        <f t="shared" si="7"/>
        <v>2494.1077673049999</v>
      </c>
      <c r="J30" s="42">
        <f t="shared" si="7"/>
        <v>2549.3273220799997</v>
      </c>
      <c r="K30" s="42">
        <f t="shared" si="7"/>
        <v>2604.5468768549999</v>
      </c>
      <c r="L30" s="42">
        <f t="shared" si="7"/>
        <v>2659.7664316300002</v>
      </c>
      <c r="M30" s="42">
        <f t="shared" si="7"/>
        <v>2716.7129897600003</v>
      </c>
      <c r="N30" s="42">
        <f t="shared" si="7"/>
        <v>2773.6595478899999</v>
      </c>
      <c r="O30" s="42">
        <f t="shared" si="7"/>
        <v>2830.6061060200004</v>
      </c>
    </row>
    <row r="31" spans="1:15" s="6" customFormat="1" ht="15" customHeight="1" x14ac:dyDescent="0.2">
      <c r="B31" s="193"/>
      <c r="C31" s="28"/>
      <c r="D31" s="28"/>
      <c r="E31" s="42"/>
      <c r="F31" s="42"/>
      <c r="G31" s="42"/>
      <c r="H31" s="42"/>
      <c r="I31" s="42"/>
      <c r="J31" s="42"/>
      <c r="K31" s="42"/>
      <c r="L31" s="42"/>
      <c r="M31" s="42"/>
      <c r="N31" s="42"/>
      <c r="O31" s="42"/>
    </row>
    <row r="32" spans="1:15" ht="15" customHeight="1" x14ac:dyDescent="0.2">
      <c r="A32" s="26"/>
      <c r="B32" s="13" t="s">
        <v>164</v>
      </c>
      <c r="C32" s="8">
        <v>109.16600659999999</v>
      </c>
      <c r="D32" s="8">
        <v>134.00274404000001</v>
      </c>
      <c r="E32" s="9">
        <v>140.59093686</v>
      </c>
      <c r="F32" s="152">
        <f t="shared" ref="F32:O32" si="8">F22*F12</f>
        <v>235.89781756799999</v>
      </c>
      <c r="G32" s="152">
        <f t="shared" si="8"/>
        <v>346.71544112800007</v>
      </c>
      <c r="H32" s="152">
        <f t="shared" si="8"/>
        <v>354.74737636800006</v>
      </c>
      <c r="I32" s="152">
        <f t="shared" si="8"/>
        <v>362.77931160799994</v>
      </c>
      <c r="J32" s="152">
        <f t="shared" si="8"/>
        <v>370.811246848</v>
      </c>
      <c r="K32" s="152">
        <f t="shared" si="8"/>
        <v>378.84318208799999</v>
      </c>
      <c r="L32" s="152">
        <f t="shared" si="8"/>
        <v>386.87511732800004</v>
      </c>
      <c r="M32" s="152">
        <f t="shared" si="8"/>
        <v>395.15825305600004</v>
      </c>
      <c r="N32" s="152">
        <f t="shared" si="8"/>
        <v>403.44138878400003</v>
      </c>
      <c r="O32" s="152">
        <f t="shared" si="8"/>
        <v>411.72452451200002</v>
      </c>
    </row>
    <row r="33" spans="1:15" ht="15" customHeight="1" x14ac:dyDescent="0.2">
      <c r="A33" s="26"/>
      <c r="B33" s="13" t="s">
        <v>152</v>
      </c>
      <c r="C33" s="8">
        <v>1.56533327</v>
      </c>
      <c r="D33" s="8">
        <v>2.1883362700000002</v>
      </c>
      <c r="E33" s="9">
        <v>1.4355382999999999</v>
      </c>
      <c r="F33" s="152">
        <f t="shared" ref="F33:O33" si="9">F13</f>
        <v>2</v>
      </c>
      <c r="G33" s="152">
        <f t="shared" si="9"/>
        <v>2</v>
      </c>
      <c r="H33" s="152">
        <f t="shared" si="9"/>
        <v>2</v>
      </c>
      <c r="I33" s="152">
        <f t="shared" si="9"/>
        <v>2</v>
      </c>
      <c r="J33" s="152">
        <f t="shared" si="9"/>
        <v>2</v>
      </c>
      <c r="K33" s="152">
        <f t="shared" si="9"/>
        <v>2</v>
      </c>
      <c r="L33" s="152">
        <f t="shared" si="9"/>
        <v>2</v>
      </c>
      <c r="M33" s="152">
        <f t="shared" si="9"/>
        <v>2</v>
      </c>
      <c r="N33" s="152">
        <f t="shared" si="9"/>
        <v>2</v>
      </c>
      <c r="O33" s="152">
        <f t="shared" si="9"/>
        <v>2</v>
      </c>
    </row>
    <row r="34" spans="1:15" ht="15" customHeight="1" x14ac:dyDescent="0.2">
      <c r="A34" s="26"/>
      <c r="B34" s="13" t="s">
        <v>165</v>
      </c>
      <c r="C34" s="8">
        <v>248.63998849000001</v>
      </c>
      <c r="D34" s="8">
        <v>297.66749849000001</v>
      </c>
      <c r="E34" s="9">
        <v>303.64710166000003</v>
      </c>
      <c r="F34" s="152">
        <f t="shared" ref="F34:O34" si="10">(1+F14)*E34</f>
        <v>327.93886979280006</v>
      </c>
      <c r="G34" s="152">
        <f t="shared" si="10"/>
        <v>354.17397937622411</v>
      </c>
      <c r="H34" s="152">
        <f t="shared" si="10"/>
        <v>382.50789772632208</v>
      </c>
      <c r="I34" s="152">
        <f t="shared" si="10"/>
        <v>413.10852954442788</v>
      </c>
      <c r="J34" s="152">
        <f t="shared" si="10"/>
        <v>446.15721190798212</v>
      </c>
      <c r="K34" s="152">
        <f t="shared" si="10"/>
        <v>481.84978886062072</v>
      </c>
      <c r="L34" s="152">
        <f t="shared" si="10"/>
        <v>520.39777196947045</v>
      </c>
      <c r="M34" s="152">
        <f t="shared" si="10"/>
        <v>562.0295937270281</v>
      </c>
      <c r="N34" s="152">
        <f t="shared" si="10"/>
        <v>606.99196122519038</v>
      </c>
      <c r="O34" s="152">
        <f t="shared" si="10"/>
        <v>655.55131812320565</v>
      </c>
    </row>
    <row r="35" spans="1:15" s="6" customFormat="1" ht="15" customHeight="1" x14ac:dyDescent="0.2">
      <c r="A35" s="26"/>
      <c r="B35" s="25" t="s">
        <v>166</v>
      </c>
      <c r="C35" s="42">
        <f>C26-C30-SUM(C32:C34)</f>
        <v>6544.7733607199989</v>
      </c>
      <c r="D35" s="42">
        <f>D26-D30-SUM(D32:D34)</f>
        <v>8130.9304520699989</v>
      </c>
      <c r="E35" s="42">
        <f>E26-E30-SUM(E32:E34)</f>
        <v>7583.3493189599994</v>
      </c>
      <c r="F35" s="42">
        <f>F26-F30-SUM(F32:F34)</f>
        <v>13882.904638679202</v>
      </c>
      <c r="G35" s="42">
        <f t="shared" ref="G35:O35" si="11">G26-G30-SUM(G32:G34)</f>
        <v>20533.431348585778</v>
      </c>
      <c r="H35" s="42">
        <f t="shared" si="11"/>
        <v>20989.021528445683</v>
      </c>
      <c r="I35" s="42">
        <f t="shared" si="11"/>
        <v>21442.344994837571</v>
      </c>
      <c r="J35" s="42">
        <f t="shared" si="11"/>
        <v>21893.220410684018</v>
      </c>
      <c r="K35" s="42">
        <f t="shared" si="11"/>
        <v>22341.451931941381</v>
      </c>
      <c r="L35" s="42">
        <f t="shared" si="11"/>
        <v>22786.828047042531</v>
      </c>
      <c r="M35" s="42">
        <f t="shared" si="11"/>
        <v>23244.255152896974</v>
      </c>
      <c r="N35" s="42">
        <f t="shared" si="11"/>
        <v>23698.351713010808</v>
      </c>
      <c r="O35" s="42">
        <f t="shared" si="11"/>
        <v>24148.851283724794</v>
      </c>
    </row>
    <row r="36" spans="1:15" ht="15" customHeight="1" x14ac:dyDescent="0.2">
      <c r="A36" s="26"/>
      <c r="B36" s="148"/>
      <c r="C36" s="147"/>
      <c r="D36" s="147"/>
      <c r="E36" s="152"/>
      <c r="F36" s="152"/>
      <c r="G36" s="152"/>
      <c r="H36" s="152"/>
      <c r="I36" s="152"/>
      <c r="J36" s="152"/>
      <c r="K36" s="152"/>
      <c r="L36" s="152"/>
      <c r="M36" s="152"/>
      <c r="N36" s="152"/>
      <c r="O36" s="152"/>
    </row>
    <row r="37" spans="1:15" ht="15" customHeight="1" x14ac:dyDescent="0.2">
      <c r="A37" s="26"/>
      <c r="B37" s="13" t="s">
        <v>108</v>
      </c>
      <c r="C37" s="8">
        <v>1325.4288073599998</v>
      </c>
      <c r="D37" s="8">
        <v>1737.0132703699999</v>
      </c>
      <c r="E37" s="9">
        <v>1907.64182906</v>
      </c>
      <c r="F37" s="152">
        <f>'PP&amp;E'!F38</f>
        <v>4052.8351439127186</v>
      </c>
      <c r="G37" s="152">
        <f>'PP&amp;E'!G38</f>
        <v>6137.7739299730447</v>
      </c>
      <c r="H37" s="152">
        <f>'PP&amp;E'!H38</f>
        <v>6083.4562939609123</v>
      </c>
      <c r="I37" s="152">
        <f>'PP&amp;E'!I38</f>
        <v>6031.9482487845671</v>
      </c>
      <c r="J37" s="152">
        <f>'PP&amp;E'!J38</f>
        <v>5982.9727967627277</v>
      </c>
      <c r="K37" s="152">
        <f>'PP&amp;E'!K38</f>
        <v>5936.2607358762079</v>
      </c>
      <c r="L37" s="152">
        <f>'PP&amp;E'!L38</f>
        <v>5891.5497223778948</v>
      </c>
      <c r="M37" s="152">
        <f>'PP&amp;E'!M38</f>
        <v>5848.5833890329523</v>
      </c>
      <c r="N37" s="152">
        <f>'PP&amp;E'!N38</f>
        <v>5807.1105146251984</v>
      </c>
      <c r="O37" s="152">
        <f>'PP&amp;E'!O38</f>
        <v>5766.8842407551447</v>
      </c>
    </row>
    <row r="38" spans="1:15" ht="15" customHeight="1" x14ac:dyDescent="0.2">
      <c r="A38" s="26"/>
      <c r="B38" s="13" t="s">
        <v>109</v>
      </c>
      <c r="C38" s="8">
        <v>4.1455720600000001</v>
      </c>
      <c r="D38" s="8">
        <v>12.02098831</v>
      </c>
      <c r="E38" s="9">
        <v>11.99153175</v>
      </c>
      <c r="F38" s="152">
        <f>Cals!F19</f>
        <v>12</v>
      </c>
      <c r="G38" s="152">
        <f>Cals!G19</f>
        <v>12</v>
      </c>
      <c r="H38" s="152">
        <f>Cals!H19</f>
        <v>12</v>
      </c>
      <c r="I38" s="152">
        <f>Cals!I19</f>
        <v>12</v>
      </c>
      <c r="J38" s="152">
        <f>Cals!J19</f>
        <v>12</v>
      </c>
      <c r="K38" s="152">
        <f>Cals!K19</f>
        <v>12</v>
      </c>
      <c r="L38" s="152">
        <f>Cals!L19</f>
        <v>12</v>
      </c>
      <c r="M38" s="152">
        <f>Cals!M19</f>
        <v>12</v>
      </c>
      <c r="N38" s="152">
        <f>Cals!N19</f>
        <v>12</v>
      </c>
      <c r="O38" s="152">
        <f>Cals!O19</f>
        <v>12</v>
      </c>
    </row>
    <row r="39" spans="1:15" s="153" customFormat="1" ht="15" customHeight="1" x14ac:dyDescent="0.2">
      <c r="A39" s="194"/>
      <c r="B39" s="54" t="s">
        <v>167</v>
      </c>
      <c r="C39" s="55">
        <f>C35-SUM(C37:C38)</f>
        <v>5215.1989812999991</v>
      </c>
      <c r="D39" s="55">
        <f>D35-SUM(D37:D38)</f>
        <v>6381.8961933899991</v>
      </c>
      <c r="E39" s="55">
        <f>E35-SUM(E37:E38)</f>
        <v>5663.71595815</v>
      </c>
      <c r="F39" s="55">
        <f>F35-SUM(F37:F38)</f>
        <v>9818.0694947664833</v>
      </c>
      <c r="G39" s="55">
        <f t="shared" ref="G39:O39" si="12">G35-SUM(G37:G38)</f>
        <v>14383.657418612733</v>
      </c>
      <c r="H39" s="55">
        <f t="shared" si="12"/>
        <v>14893.565234484769</v>
      </c>
      <c r="I39" s="55">
        <f t="shared" si="12"/>
        <v>15398.396746053004</v>
      </c>
      <c r="J39" s="55">
        <f t="shared" si="12"/>
        <v>15898.24761392129</v>
      </c>
      <c r="K39" s="55">
        <f t="shared" si="12"/>
        <v>16393.191196065174</v>
      </c>
      <c r="L39" s="55">
        <f t="shared" si="12"/>
        <v>16883.278324664636</v>
      </c>
      <c r="M39" s="55">
        <f t="shared" si="12"/>
        <v>17383.671763864022</v>
      </c>
      <c r="N39" s="55">
        <f t="shared" si="12"/>
        <v>17879.241198385611</v>
      </c>
      <c r="O39" s="55">
        <f t="shared" si="12"/>
        <v>18369.967042969649</v>
      </c>
    </row>
    <row r="40" spans="1:15" ht="15" customHeight="1" x14ac:dyDescent="0.2">
      <c r="A40" s="26"/>
      <c r="B40" s="148"/>
      <c r="C40" s="147"/>
      <c r="D40" s="147"/>
      <c r="E40" s="9"/>
      <c r="F40" s="152"/>
      <c r="G40" s="152"/>
      <c r="H40" s="152"/>
      <c r="I40" s="152"/>
      <c r="J40" s="152"/>
      <c r="K40" s="152"/>
      <c r="L40" s="152"/>
      <c r="M40" s="152"/>
      <c r="N40" s="152"/>
      <c r="O40" s="152"/>
    </row>
    <row r="41" spans="1:15" s="147" customFormat="1" ht="15" customHeight="1" x14ac:dyDescent="0.2">
      <c r="A41" s="26"/>
      <c r="B41" s="13" t="s">
        <v>110</v>
      </c>
      <c r="C41" s="8">
        <v>707.20196785999997</v>
      </c>
      <c r="D41" s="8">
        <v>865.54470962000005</v>
      </c>
      <c r="E41" s="21">
        <v>901.76586831999998</v>
      </c>
      <c r="F41" s="152">
        <f ca="1">Financing!F42</f>
        <v>2842.6858190980488</v>
      </c>
      <c r="G41" s="152">
        <f ca="1">Financing!G42</f>
        <v>4673.2991483689111</v>
      </c>
      <c r="H41" s="152">
        <f ca="1">Financing!H42</f>
        <v>4371.5732659855412</v>
      </c>
      <c r="I41" s="152">
        <f ca="1">Financing!I42</f>
        <v>4223.7341080272045</v>
      </c>
      <c r="J41" s="152">
        <f ca="1">Financing!J42</f>
        <v>4111.4148835977594</v>
      </c>
      <c r="K41" s="152">
        <f ca="1">Financing!K42</f>
        <v>3997.8474689456134</v>
      </c>
      <c r="L41" s="152">
        <f ca="1">Financing!L42</f>
        <v>3882.8605652292076</v>
      </c>
      <c r="M41" s="152">
        <f ca="1">Financing!M42</f>
        <v>3711.4655802872398</v>
      </c>
      <c r="N41" s="152">
        <f ca="1">Financing!N42</f>
        <v>3465.7224906008228</v>
      </c>
      <c r="O41" s="152">
        <f ca="1">Financing!O42</f>
        <v>3272.3921562175856</v>
      </c>
    </row>
    <row r="42" spans="1:15" ht="15" customHeight="1" x14ac:dyDescent="0.2">
      <c r="A42" s="26"/>
      <c r="B42" s="13" t="s">
        <v>154</v>
      </c>
      <c r="C42" s="8">
        <v>-1.38408858</v>
      </c>
      <c r="D42" s="8">
        <v>0.44766140000000004</v>
      </c>
      <c r="E42" s="9">
        <v>0.81427145999999995</v>
      </c>
      <c r="F42" s="152">
        <f>F15</f>
        <v>0</v>
      </c>
      <c r="G42" s="152">
        <f t="shared" ref="G42:O42" si="13">G15</f>
        <v>0</v>
      </c>
      <c r="H42" s="152">
        <f t="shared" si="13"/>
        <v>0</v>
      </c>
      <c r="I42" s="152">
        <f t="shared" si="13"/>
        <v>0</v>
      </c>
      <c r="J42" s="152">
        <f t="shared" si="13"/>
        <v>0</v>
      </c>
      <c r="K42" s="152">
        <f t="shared" si="13"/>
        <v>0</v>
      </c>
      <c r="L42" s="152">
        <f t="shared" si="13"/>
        <v>0</v>
      </c>
      <c r="M42" s="152">
        <f t="shared" si="13"/>
        <v>0</v>
      </c>
      <c r="N42" s="152">
        <f t="shared" si="13"/>
        <v>0</v>
      </c>
      <c r="O42" s="152">
        <f t="shared" si="13"/>
        <v>0</v>
      </c>
    </row>
    <row r="43" spans="1:15" ht="15" customHeight="1" x14ac:dyDescent="0.2">
      <c r="A43" s="26"/>
      <c r="B43" s="13" t="s">
        <v>115</v>
      </c>
      <c r="C43" s="8">
        <v>-11.667360560000001</v>
      </c>
      <c r="D43" s="8">
        <v>0</v>
      </c>
      <c r="E43" s="9">
        <v>0</v>
      </c>
      <c r="F43" s="152">
        <f>F16</f>
        <v>0</v>
      </c>
      <c r="G43" s="152">
        <f t="shared" ref="G43:O43" si="14">G16</f>
        <v>0</v>
      </c>
      <c r="H43" s="152">
        <f t="shared" si="14"/>
        <v>0</v>
      </c>
      <c r="I43" s="152">
        <f t="shared" si="14"/>
        <v>0</v>
      </c>
      <c r="J43" s="152">
        <f t="shared" si="14"/>
        <v>0</v>
      </c>
      <c r="K43" s="152">
        <f t="shared" si="14"/>
        <v>0</v>
      </c>
      <c r="L43" s="152">
        <f t="shared" si="14"/>
        <v>0</v>
      </c>
      <c r="M43" s="152">
        <f t="shared" si="14"/>
        <v>0</v>
      </c>
      <c r="N43" s="152">
        <f t="shared" si="14"/>
        <v>0</v>
      </c>
      <c r="O43" s="152">
        <f t="shared" si="14"/>
        <v>0</v>
      </c>
    </row>
    <row r="44" spans="1:15" ht="15" customHeight="1" x14ac:dyDescent="0.2">
      <c r="A44" s="26"/>
      <c r="B44" s="13" t="s">
        <v>116</v>
      </c>
      <c r="C44" s="8">
        <v>870.03217162999999</v>
      </c>
      <c r="D44" s="8">
        <v>2094.7680341</v>
      </c>
      <c r="E44" s="9">
        <v>439.19175109999998</v>
      </c>
      <c r="F44" s="152">
        <f>F17</f>
        <v>0</v>
      </c>
      <c r="G44" s="152">
        <f t="shared" ref="G44:O44" si="15">G17</f>
        <v>0</v>
      </c>
      <c r="H44" s="152">
        <f t="shared" si="15"/>
        <v>0</v>
      </c>
      <c r="I44" s="152">
        <f t="shared" si="15"/>
        <v>0</v>
      </c>
      <c r="J44" s="152">
        <f t="shared" si="15"/>
        <v>0</v>
      </c>
      <c r="K44" s="152">
        <f t="shared" si="15"/>
        <v>0</v>
      </c>
      <c r="L44" s="152">
        <f t="shared" si="15"/>
        <v>0</v>
      </c>
      <c r="M44" s="152">
        <f t="shared" si="15"/>
        <v>0</v>
      </c>
      <c r="N44" s="152">
        <f t="shared" si="15"/>
        <v>0</v>
      </c>
      <c r="O44" s="152">
        <f t="shared" si="15"/>
        <v>0</v>
      </c>
    </row>
    <row r="45" spans="1:15" ht="15" customHeight="1" x14ac:dyDescent="0.2">
      <c r="A45" s="26"/>
      <c r="B45" s="13" t="s">
        <v>155</v>
      </c>
      <c r="C45" s="8">
        <v>11.606522550000022</v>
      </c>
      <c r="D45" s="8">
        <v>-17.814834350000069</v>
      </c>
      <c r="E45" s="9">
        <v>-15.337714469999998</v>
      </c>
      <c r="F45" s="152">
        <f>F18</f>
        <v>0</v>
      </c>
      <c r="G45" s="152">
        <f t="shared" ref="G45:O45" si="16">G18</f>
        <v>0</v>
      </c>
      <c r="H45" s="152">
        <f t="shared" si="16"/>
        <v>0</v>
      </c>
      <c r="I45" s="152">
        <f t="shared" si="16"/>
        <v>0</v>
      </c>
      <c r="J45" s="152">
        <f t="shared" si="16"/>
        <v>0</v>
      </c>
      <c r="K45" s="152">
        <f t="shared" si="16"/>
        <v>0</v>
      </c>
      <c r="L45" s="152">
        <f t="shared" si="16"/>
        <v>0</v>
      </c>
      <c r="M45" s="152">
        <f t="shared" si="16"/>
        <v>0</v>
      </c>
      <c r="N45" s="152">
        <f t="shared" si="16"/>
        <v>0</v>
      </c>
      <c r="O45" s="152">
        <f t="shared" si="16"/>
        <v>0</v>
      </c>
    </row>
    <row r="46" spans="1:15" s="6" customFormat="1" ht="15" customHeight="1" x14ac:dyDescent="0.2">
      <c r="A46" s="26"/>
      <c r="B46" s="35" t="s">
        <v>168</v>
      </c>
      <c r="C46" s="42">
        <f>C39-SUM(C41:C42)+SUM(C43:C45)</f>
        <v>5379.3524356399994</v>
      </c>
      <c r="D46" s="42">
        <f>D39-SUM(D41:D42)+SUM(D43:D45)</f>
        <v>7592.8570221199989</v>
      </c>
      <c r="E46" s="42">
        <f>E39-SUM(E41:E42)+SUM(E43:E45)</f>
        <v>5184.9898550000007</v>
      </c>
      <c r="F46" s="42">
        <f t="shared" ref="F46:O46" ca="1" si="17">F39-SUM(F41:F42)+SUM(F43:F45)</f>
        <v>6975.3836756684341</v>
      </c>
      <c r="G46" s="42">
        <f t="shared" ca="1" si="17"/>
        <v>9710.3582702438216</v>
      </c>
      <c r="H46" s="42">
        <f t="shared" ca="1" si="17"/>
        <v>10521.991968499227</v>
      </c>
      <c r="I46" s="42">
        <f t="shared" ca="1" si="17"/>
        <v>11174.662638025799</v>
      </c>
      <c r="J46" s="42">
        <f t="shared" ca="1" si="17"/>
        <v>11786.832730323531</v>
      </c>
      <c r="K46" s="42">
        <f t="shared" ca="1" si="17"/>
        <v>12395.343727119562</v>
      </c>
      <c r="L46" s="42">
        <f t="shared" ca="1" si="17"/>
        <v>13000.417759435428</v>
      </c>
      <c r="M46" s="42">
        <f t="shared" ca="1" si="17"/>
        <v>13672.206183576782</v>
      </c>
      <c r="N46" s="42">
        <f t="shared" ca="1" si="17"/>
        <v>14413.518707784788</v>
      </c>
      <c r="O46" s="42">
        <f t="shared" ca="1" si="17"/>
        <v>15097.574886752063</v>
      </c>
    </row>
    <row r="47" spans="1:15" ht="15" customHeight="1" x14ac:dyDescent="0.2">
      <c r="A47" s="26"/>
      <c r="B47" s="148"/>
      <c r="C47" s="147"/>
      <c r="D47" s="147"/>
      <c r="E47" s="152"/>
      <c r="F47" s="152"/>
      <c r="G47" s="152"/>
      <c r="H47" s="152"/>
      <c r="I47" s="152"/>
      <c r="J47" s="152"/>
      <c r="K47" s="152"/>
      <c r="L47" s="152"/>
      <c r="M47" s="152"/>
      <c r="N47" s="152"/>
      <c r="O47" s="152"/>
    </row>
    <row r="48" spans="1:15" ht="15" customHeight="1" x14ac:dyDescent="0.2">
      <c r="A48" s="26"/>
      <c r="B48" s="236" t="s">
        <v>169</v>
      </c>
      <c r="C48" s="8">
        <v>1764.1168824399999</v>
      </c>
      <c r="D48" s="8">
        <v>2220.37413668</v>
      </c>
      <c r="E48" s="8">
        <v>1254.6166363900002</v>
      </c>
      <c r="F48" s="237">
        <f ca="1">F19*F46</f>
        <v>1743.8459189171085</v>
      </c>
      <c r="G48" s="237">
        <f t="shared" ref="G48:O48" ca="1" si="18">G19*G46</f>
        <v>2427.5895675609554</v>
      </c>
      <c r="H48" s="237">
        <f t="shared" ca="1" si="18"/>
        <v>2630.4979921248068</v>
      </c>
      <c r="I48" s="237">
        <f t="shared" ca="1" si="18"/>
        <v>2793.6656595064496</v>
      </c>
      <c r="J48" s="237">
        <f t="shared" ca="1" si="18"/>
        <v>2946.7081825808827</v>
      </c>
      <c r="K48" s="237">
        <f t="shared" ca="1" si="18"/>
        <v>3098.8359317798904</v>
      </c>
      <c r="L48" s="237">
        <f t="shared" ca="1" si="18"/>
        <v>3250.1044398588569</v>
      </c>
      <c r="M48" s="237">
        <f t="shared" ca="1" si="18"/>
        <v>3418.0515458941954</v>
      </c>
      <c r="N48" s="237">
        <f t="shared" ca="1" si="18"/>
        <v>3603.3796769461969</v>
      </c>
      <c r="O48" s="237">
        <f t="shared" ca="1" si="18"/>
        <v>3774.3937216880158</v>
      </c>
    </row>
    <row r="49" spans="1:15" s="6" customFormat="1" ht="15" customHeight="1" x14ac:dyDescent="0.2">
      <c r="A49" s="26"/>
      <c r="B49" s="35" t="s">
        <v>97</v>
      </c>
      <c r="C49" s="42">
        <f t="shared" ref="C49:O49" si="19">C46-C48</f>
        <v>3615.2355531999992</v>
      </c>
      <c r="D49" s="42">
        <f t="shared" si="19"/>
        <v>5372.4828854399984</v>
      </c>
      <c r="E49" s="42">
        <f t="shared" si="19"/>
        <v>3930.3732186100005</v>
      </c>
      <c r="F49" s="42">
        <f t="shared" ca="1" si="19"/>
        <v>5231.537756751326</v>
      </c>
      <c r="G49" s="42">
        <f t="shared" ca="1" si="19"/>
        <v>7282.7687026828662</v>
      </c>
      <c r="H49" s="42">
        <f t="shared" ca="1" si="19"/>
        <v>7891.4939763744205</v>
      </c>
      <c r="I49" s="42">
        <f t="shared" ca="1" si="19"/>
        <v>8380.9969785193498</v>
      </c>
      <c r="J49" s="42">
        <f t="shared" ca="1" si="19"/>
        <v>8840.1245477426492</v>
      </c>
      <c r="K49" s="42">
        <f t="shared" ca="1" si="19"/>
        <v>9296.5077953396722</v>
      </c>
      <c r="L49" s="42">
        <f t="shared" ca="1" si="19"/>
        <v>9750.3133195765713</v>
      </c>
      <c r="M49" s="42">
        <f t="shared" ca="1" si="19"/>
        <v>10254.154637682586</v>
      </c>
      <c r="N49" s="42">
        <f t="shared" ca="1" si="19"/>
        <v>10810.139030838591</v>
      </c>
      <c r="O49" s="42">
        <f t="shared" ca="1" si="19"/>
        <v>11323.181165064048</v>
      </c>
    </row>
    <row r="50" spans="1:15" ht="15" customHeight="1" x14ac:dyDescent="0.2">
      <c r="A50" s="26"/>
      <c r="B50" s="148"/>
      <c r="C50" s="147"/>
      <c r="D50" s="147"/>
      <c r="E50" s="147"/>
      <c r="F50" s="147"/>
      <c r="G50" s="147"/>
      <c r="H50" s="147"/>
      <c r="I50" s="147"/>
      <c r="J50" s="147"/>
      <c r="K50" s="147"/>
      <c r="L50" s="147"/>
      <c r="M50" s="147"/>
      <c r="N50" s="147"/>
      <c r="O50" s="147"/>
    </row>
    <row r="51" spans="1:15" ht="15" customHeight="1" x14ac:dyDescent="0.2">
      <c r="A51" s="26"/>
      <c r="B51" s="13" t="s">
        <v>24</v>
      </c>
      <c r="C51" s="9">
        <v>9412.0854569999992</v>
      </c>
      <c r="D51" s="9">
        <v>9412.0854569999992</v>
      </c>
      <c r="E51" s="9">
        <v>9412.0854569999992</v>
      </c>
      <c r="F51" s="154">
        <f>Financing!F46</f>
        <v>10963.675837139643</v>
      </c>
      <c r="G51" s="154">
        <f>Financing!G46</f>
        <v>10963.675837139643</v>
      </c>
      <c r="H51" s="154">
        <f>Financing!H46</f>
        <v>10963.675837139643</v>
      </c>
      <c r="I51" s="154">
        <f>Financing!I46</f>
        <v>10963.675837139643</v>
      </c>
      <c r="J51" s="154">
        <f>Financing!J46</f>
        <v>10963.675837139643</v>
      </c>
      <c r="K51" s="154">
        <f>Financing!K46</f>
        <v>10963.675837139643</v>
      </c>
      <c r="L51" s="154">
        <f>Financing!L46</f>
        <v>10963.675837139643</v>
      </c>
      <c r="M51" s="154">
        <f>Financing!M46</f>
        <v>10963.675837139643</v>
      </c>
      <c r="N51" s="154">
        <f>Financing!N46</f>
        <v>10963.675837139643</v>
      </c>
      <c r="O51" s="154">
        <f>Financing!O46</f>
        <v>10963.675837139643</v>
      </c>
    </row>
    <row r="52" spans="1:15" s="6" customFormat="1" ht="15" customHeight="1" x14ac:dyDescent="0.2">
      <c r="A52" s="26"/>
      <c r="B52" s="35" t="s">
        <v>170</v>
      </c>
      <c r="C52" s="49">
        <f>C49/C51</f>
        <v>0.38410568728009792</v>
      </c>
      <c r="D52" s="49">
        <f>D49/D51</f>
        <v>0.57080685359102334</v>
      </c>
      <c r="E52" s="49">
        <f>E49/E51</f>
        <v>0.41758792316179888</v>
      </c>
      <c r="F52" s="49">
        <f ca="1">F49/F51</f>
        <v>0.4771700508536928</v>
      </c>
      <c r="G52" s="49">
        <f t="shared" ref="G52:O52" ca="1" si="20">G49/G51</f>
        <v>0.66426341045330439</v>
      </c>
      <c r="H52" s="49">
        <f t="shared" ca="1" si="20"/>
        <v>0.71978541627816539</v>
      </c>
      <c r="I52" s="49">
        <f t="shared" ca="1" si="20"/>
        <v>0.76443312471247793</v>
      </c>
      <c r="J52" s="49">
        <f t="shared" ca="1" si="20"/>
        <v>0.80631028124678528</v>
      </c>
      <c r="K52" s="49">
        <f t="shared" ca="1" si="20"/>
        <v>0.84793712742286576</v>
      </c>
      <c r="L52" s="49">
        <f t="shared" ca="1" si="20"/>
        <v>0.88932885871609002</v>
      </c>
      <c r="M52" s="49">
        <f t="shared" ca="1" si="20"/>
        <v>0.93528436903857182</v>
      </c>
      <c r="N52" s="49">
        <f t="shared" ca="1" si="20"/>
        <v>0.98599586410782569</v>
      </c>
      <c r="O52" s="49">
        <f t="shared" ca="1" si="20"/>
        <v>1.03279058349268</v>
      </c>
    </row>
    <row r="53" spans="1:15" ht="15" customHeight="1" x14ac:dyDescent="0.2">
      <c r="A53" s="26"/>
      <c r="B53" s="193"/>
      <c r="C53" s="147"/>
      <c r="D53" s="147"/>
      <c r="E53" s="147"/>
      <c r="F53" s="147"/>
      <c r="G53" s="147"/>
      <c r="H53" s="147"/>
      <c r="I53" s="147"/>
      <c r="J53" s="147"/>
      <c r="K53" s="147"/>
      <c r="L53" s="147"/>
      <c r="M53" s="147"/>
      <c r="N53" s="147"/>
      <c r="O53" s="147"/>
    </row>
    <row r="54" spans="1:15" ht="15" customHeight="1" x14ac:dyDescent="0.2">
      <c r="B54" s="144"/>
      <c r="C54" s="8"/>
      <c r="D54" s="8"/>
      <c r="E54" s="8"/>
      <c r="F54" s="129"/>
      <c r="G54" s="129"/>
      <c r="H54" s="129"/>
      <c r="I54" s="129"/>
      <c r="J54" s="129"/>
      <c r="K54" s="129"/>
    </row>
    <row r="55" spans="1:15" ht="15" customHeight="1" x14ac:dyDescent="0.2">
      <c r="B55" s="144"/>
      <c r="C55" s="8"/>
      <c r="D55" s="8"/>
      <c r="E55" s="8"/>
      <c r="F55" s="129"/>
      <c r="G55" s="129"/>
      <c r="H55" s="129"/>
      <c r="I55" s="129"/>
      <c r="J55" s="129"/>
      <c r="K55" s="129"/>
    </row>
    <row r="56" spans="1:15" ht="15" customHeight="1" x14ac:dyDescent="0.2">
      <c r="B56" s="144"/>
      <c r="C56" s="8"/>
      <c r="D56" s="8"/>
      <c r="E56" s="8"/>
      <c r="F56" s="129"/>
      <c r="G56" s="129"/>
      <c r="H56" s="129"/>
      <c r="I56" s="129"/>
      <c r="J56" s="129"/>
      <c r="K56" s="129"/>
    </row>
    <row r="57" spans="1:15" ht="15" customHeight="1" x14ac:dyDescent="0.2">
      <c r="B57" s="144"/>
      <c r="C57" s="8"/>
      <c r="D57" s="8"/>
      <c r="E57" s="8"/>
      <c r="F57" s="129"/>
      <c r="G57" s="129"/>
      <c r="H57" s="129"/>
      <c r="I57" s="129"/>
      <c r="J57" s="129"/>
      <c r="K57" s="129"/>
    </row>
    <row r="58" spans="1:15" ht="15" customHeight="1" x14ac:dyDescent="0.2">
      <c r="B58" s="144"/>
      <c r="C58" s="8"/>
      <c r="D58" s="8"/>
      <c r="E58" s="8"/>
      <c r="F58" s="129"/>
      <c r="G58" s="129"/>
      <c r="H58" s="129"/>
      <c r="I58" s="129"/>
      <c r="J58" s="129"/>
      <c r="K58" s="129"/>
    </row>
    <row r="59" spans="1:15" ht="15" customHeight="1" x14ac:dyDescent="0.2">
      <c r="B59" s="144"/>
      <c r="C59" s="8"/>
      <c r="D59" s="8"/>
      <c r="E59" s="8"/>
      <c r="F59" s="129"/>
      <c r="G59" s="129"/>
      <c r="H59" s="129"/>
      <c r="I59" s="129"/>
      <c r="J59" s="129"/>
      <c r="K59" s="129"/>
    </row>
    <row r="60" spans="1:15" ht="15" customHeight="1" x14ac:dyDescent="0.2">
      <c r="B60" s="144"/>
      <c r="C60" s="8"/>
      <c r="D60" s="8"/>
      <c r="E60" s="8"/>
      <c r="F60" s="129"/>
      <c r="G60" s="129"/>
      <c r="H60" s="129"/>
      <c r="I60" s="129"/>
      <c r="J60" s="129"/>
      <c r="K60" s="129"/>
    </row>
    <row r="61" spans="1:15" ht="15" customHeight="1" x14ac:dyDescent="0.2">
      <c r="B61" s="144"/>
      <c r="C61" s="8"/>
      <c r="D61" s="8"/>
      <c r="E61" s="8"/>
      <c r="F61" s="129"/>
      <c r="G61" s="129"/>
      <c r="H61" s="129"/>
      <c r="I61" s="129"/>
      <c r="J61" s="129"/>
      <c r="K61" s="129"/>
    </row>
    <row r="62" spans="1:15" ht="15" customHeight="1" x14ac:dyDescent="0.2">
      <c r="B62" s="144"/>
      <c r="C62" s="8"/>
      <c r="D62" s="8"/>
      <c r="E62" s="8"/>
      <c r="F62" s="129"/>
      <c r="G62" s="129"/>
      <c r="H62" s="129"/>
      <c r="I62" s="129"/>
      <c r="J62" s="129"/>
      <c r="K62" s="129"/>
    </row>
    <row r="63" spans="1:15" ht="15" customHeight="1" x14ac:dyDescent="0.2">
      <c r="B63" s="144"/>
      <c r="C63" s="8"/>
      <c r="D63" s="8"/>
      <c r="E63" s="8"/>
      <c r="F63" s="129"/>
      <c r="G63" s="129"/>
      <c r="H63" s="129"/>
      <c r="I63" s="129"/>
      <c r="J63" s="129"/>
      <c r="K63" s="129"/>
    </row>
    <row r="64" spans="1:15" ht="15" customHeight="1" x14ac:dyDescent="0.2">
      <c r="B64" s="144"/>
      <c r="C64" s="8"/>
      <c r="D64" s="8"/>
      <c r="E64" s="8"/>
      <c r="F64" s="129"/>
      <c r="G64" s="129"/>
      <c r="H64" s="129"/>
      <c r="I64" s="129"/>
      <c r="J64" s="129"/>
      <c r="K64" s="129"/>
    </row>
    <row r="65" spans="2:11" ht="15" customHeight="1" x14ac:dyDescent="0.2">
      <c r="B65" s="144"/>
      <c r="C65" s="8"/>
      <c r="D65" s="8"/>
      <c r="E65" s="8"/>
      <c r="F65" s="129"/>
      <c r="G65" s="129"/>
      <c r="H65" s="129"/>
      <c r="I65" s="129"/>
      <c r="J65" s="129"/>
      <c r="K65" s="129"/>
    </row>
    <row r="66" spans="2:11" ht="15" customHeight="1" x14ac:dyDescent="0.2">
      <c r="B66" s="144"/>
      <c r="C66" s="8"/>
      <c r="D66" s="8"/>
      <c r="E66" s="8"/>
      <c r="F66" s="129"/>
      <c r="G66" s="129"/>
      <c r="H66" s="129"/>
      <c r="I66" s="129"/>
      <c r="J66" s="129"/>
      <c r="K66" s="129"/>
    </row>
    <row r="67" spans="2:11" ht="15" customHeight="1" x14ac:dyDescent="0.2">
      <c r="B67" s="144"/>
      <c r="C67" s="8"/>
      <c r="D67" s="8"/>
      <c r="E67" s="8"/>
      <c r="F67" s="129"/>
      <c r="G67" s="129"/>
      <c r="H67" s="129"/>
      <c r="I67" s="129"/>
      <c r="J67" s="129"/>
      <c r="K67" s="129"/>
    </row>
    <row r="68" spans="2:11" ht="15" customHeight="1" x14ac:dyDescent="0.2">
      <c r="B68" s="144"/>
      <c r="C68" s="8"/>
      <c r="D68" s="8"/>
      <c r="E68" s="8"/>
      <c r="F68" s="129"/>
      <c r="G68" s="129"/>
      <c r="H68" s="129"/>
      <c r="I68" s="129"/>
      <c r="J68" s="129"/>
      <c r="K68" s="129"/>
    </row>
    <row r="69" spans="2:11" ht="15" customHeight="1" x14ac:dyDescent="0.2">
      <c r="B69" s="144"/>
      <c r="C69" s="8"/>
      <c r="D69" s="8"/>
      <c r="E69" s="8"/>
      <c r="F69" s="129"/>
      <c r="G69" s="129"/>
      <c r="H69" s="129"/>
      <c r="I69" s="129"/>
      <c r="J69" s="129"/>
      <c r="K69" s="129"/>
    </row>
    <row r="70" spans="2:11" ht="15" customHeight="1" x14ac:dyDescent="0.2">
      <c r="C70" s="8"/>
      <c r="D70" s="8"/>
      <c r="E70" s="8"/>
      <c r="F70" s="129"/>
      <c r="G70" s="129"/>
      <c r="H70" s="129"/>
      <c r="I70" s="129"/>
      <c r="J70" s="129"/>
      <c r="K70" s="129"/>
    </row>
    <row r="71" spans="2:11" ht="15" customHeight="1" x14ac:dyDescent="0.2">
      <c r="F71" s="129"/>
      <c r="G71" s="129"/>
      <c r="H71" s="129"/>
      <c r="I71" s="129"/>
      <c r="J71" s="129"/>
      <c r="K71" s="129"/>
    </row>
    <row r="72" spans="2:11" ht="15" customHeight="1" x14ac:dyDescent="0.2">
      <c r="F72" s="129"/>
      <c r="G72" s="129"/>
      <c r="H72" s="129"/>
      <c r="I72" s="129"/>
      <c r="J72" s="129"/>
      <c r="K72" s="129"/>
    </row>
    <row r="73" spans="2:11" ht="15" customHeight="1" x14ac:dyDescent="0.2">
      <c r="F73" s="129"/>
      <c r="G73" s="129"/>
      <c r="H73" s="129"/>
      <c r="I73" s="129"/>
      <c r="J73" s="129"/>
      <c r="K73" s="129"/>
    </row>
    <row r="74" spans="2:11" ht="15" customHeight="1" x14ac:dyDescent="0.2">
      <c r="F74" s="129"/>
      <c r="G74" s="129"/>
      <c r="H74" s="129"/>
      <c r="I74" s="129"/>
      <c r="J74" s="129"/>
      <c r="K74" s="129"/>
    </row>
    <row r="75" spans="2:11" ht="15" customHeight="1" x14ac:dyDescent="0.2">
      <c r="F75" s="129"/>
      <c r="G75" s="129"/>
      <c r="H75" s="129"/>
      <c r="I75" s="129"/>
      <c r="J75" s="129"/>
      <c r="K75" s="129"/>
    </row>
    <row r="76" spans="2:11" ht="15" customHeight="1" x14ac:dyDescent="0.2">
      <c r="F76" s="129"/>
      <c r="G76" s="129"/>
      <c r="H76" s="129"/>
      <c r="I76" s="129"/>
      <c r="J76" s="129"/>
      <c r="K76" s="129"/>
    </row>
    <row r="77" spans="2:11" ht="15" customHeight="1" x14ac:dyDescent="0.2">
      <c r="F77" s="129"/>
      <c r="G77" s="129"/>
      <c r="H77" s="129"/>
      <c r="I77" s="129"/>
      <c r="J77" s="129"/>
      <c r="K77" s="129"/>
    </row>
    <row r="78" spans="2:11" ht="15" customHeight="1" x14ac:dyDescent="0.2">
      <c r="F78" s="129"/>
      <c r="G78" s="129"/>
      <c r="H78" s="129"/>
      <c r="I78" s="129"/>
      <c r="J78" s="129"/>
      <c r="K78" s="129"/>
    </row>
    <row r="79" spans="2:11" ht="15" customHeight="1" x14ac:dyDescent="0.2">
      <c r="F79" s="129"/>
      <c r="G79" s="129"/>
      <c r="H79" s="129"/>
      <c r="I79" s="129"/>
      <c r="J79" s="129"/>
      <c r="K79" s="129"/>
    </row>
    <row r="80" spans="2:11" ht="15" customHeight="1" x14ac:dyDescent="0.2">
      <c r="F80" s="129"/>
      <c r="G80" s="129"/>
      <c r="H80" s="129"/>
      <c r="I80" s="129"/>
      <c r="J80" s="129"/>
      <c r="K80" s="129"/>
    </row>
    <row r="81" spans="6:11" ht="15" customHeight="1" x14ac:dyDescent="0.2">
      <c r="F81" s="129"/>
      <c r="G81" s="129"/>
      <c r="H81" s="129"/>
      <c r="I81" s="129"/>
      <c r="J81" s="129"/>
      <c r="K81" s="129"/>
    </row>
  </sheetData>
  <phoneticPr fontId="2" type="noConversion"/>
  <printOptions horizontalCentered="1" verticalCentered="1" headings="1"/>
  <pageMargins left="0.74803149606299213" right="0.74803149606299213" top="0.98425196850393704" bottom="0.98425196850393704" header="0.51181102362204722" footer="0.51181102362204722"/>
  <pageSetup paperSize="9" scale="58" orientation="landscape" blackAndWhite="1" verticalDpi="1200" r:id="rId1"/>
  <headerFooter alignWithMargins="0">
    <oddHeader>&amp;L&amp;"宋体,常规"诚迅金融培训&amp;Rwww.chainshine.com</oddHeader>
    <oddFooter>第 &amp;P 页，共 &amp;N 页</oddFooter>
  </headerFooter>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fitToPage="1"/>
  </sheetPr>
  <dimension ref="A1:O40"/>
  <sheetViews>
    <sheetView zoomScaleNormal="100" workbookViewId="0">
      <pane xSplit="2" ySplit="5" topLeftCell="C6" activePane="bottomRight" state="frozen"/>
      <selection activeCell="A6" sqref="A6"/>
      <selection pane="topRight" activeCell="A6" sqref="A6"/>
      <selection pane="bottomLeft" activeCell="A6" sqref="A6"/>
      <selection pane="bottomRight" activeCell="C6" sqref="C6"/>
    </sheetView>
  </sheetViews>
  <sheetFormatPr defaultColWidth="0" defaultRowHeight="15" customHeight="1" x14ac:dyDescent="0.2"/>
  <cols>
    <col min="1" max="1" width="1.7109375" style="121" customWidth="1"/>
    <col min="2" max="2" width="27.7109375" style="121" customWidth="1"/>
    <col min="3" max="15" width="10.7109375" style="121" customWidth="1"/>
    <col min="16" max="16" width="1.7109375" style="121" customWidth="1"/>
    <col min="17" max="16384" width="0" style="121" hidden="1"/>
  </cols>
  <sheetData>
    <row r="1" spans="1:15" ht="24" customHeight="1" x14ac:dyDescent="0.3">
      <c r="A1" s="110" t="s">
        <v>77</v>
      </c>
      <c r="B1" s="120"/>
      <c r="C1" s="111"/>
      <c r="D1" s="111"/>
      <c r="E1" s="111"/>
      <c r="F1" s="111"/>
      <c r="G1" s="111"/>
      <c r="H1" s="111"/>
      <c r="I1" s="111"/>
      <c r="J1" s="111"/>
      <c r="K1" s="111"/>
      <c r="L1" s="111"/>
      <c r="M1" s="111"/>
      <c r="N1" s="111"/>
      <c r="O1" s="111"/>
    </row>
    <row r="2" spans="1:15" ht="2.1" customHeight="1" x14ac:dyDescent="0.2">
      <c r="A2" s="26"/>
      <c r="B2" s="147"/>
      <c r="C2" s="112"/>
      <c r="D2" s="112"/>
      <c r="E2" s="112"/>
      <c r="F2" s="112"/>
      <c r="G2" s="112"/>
      <c r="H2" s="112"/>
      <c r="I2" s="112"/>
      <c r="J2" s="112"/>
      <c r="K2" s="112"/>
      <c r="L2" s="112"/>
      <c r="M2" s="112"/>
      <c r="N2" s="112"/>
      <c r="O2" s="112"/>
    </row>
    <row r="3" spans="1:15" ht="18" customHeight="1" x14ac:dyDescent="0.25">
      <c r="A3" s="210" t="s">
        <v>80</v>
      </c>
      <c r="B3" s="172"/>
      <c r="C3" s="172"/>
      <c r="D3" s="173"/>
      <c r="E3" s="173"/>
      <c r="F3" s="173"/>
      <c r="G3" s="173"/>
      <c r="H3" s="173"/>
      <c r="I3" s="173"/>
      <c r="J3" s="173"/>
      <c r="K3" s="173"/>
      <c r="L3" s="173"/>
      <c r="M3" s="173"/>
      <c r="N3" s="173"/>
      <c r="O3" s="173"/>
    </row>
    <row r="4" spans="1:15" ht="2.1" customHeight="1" x14ac:dyDescent="0.2">
      <c r="A4" s="174"/>
      <c r="B4" s="175"/>
      <c r="C4" s="175"/>
      <c r="D4" s="176"/>
      <c r="E4" s="176"/>
      <c r="F4" s="176"/>
      <c r="G4" s="176"/>
      <c r="H4" s="176"/>
      <c r="I4" s="176"/>
      <c r="J4" s="176"/>
      <c r="K4" s="176"/>
      <c r="L4" s="176"/>
      <c r="M4" s="108" t="s">
        <v>93</v>
      </c>
      <c r="N4" s="108" t="s">
        <v>93</v>
      </c>
      <c r="O4" s="108" t="s">
        <v>93</v>
      </c>
    </row>
    <row r="5" spans="1:15" ht="15" customHeight="1" x14ac:dyDescent="0.2">
      <c r="A5" s="113" t="s">
        <v>94</v>
      </c>
      <c r="C5" s="114">
        <v>39082</v>
      </c>
      <c r="D5" s="114">
        <v>39447</v>
      </c>
      <c r="E5" s="114">
        <v>39813</v>
      </c>
      <c r="F5" s="115">
        <v>40178</v>
      </c>
      <c r="G5" s="115">
        <v>40543</v>
      </c>
      <c r="H5" s="115">
        <v>40908</v>
      </c>
      <c r="I5" s="115">
        <v>41274</v>
      </c>
      <c r="J5" s="115">
        <v>41639</v>
      </c>
      <c r="K5" s="115">
        <v>42004</v>
      </c>
      <c r="L5" s="115">
        <v>42369</v>
      </c>
      <c r="M5" s="115">
        <v>42735</v>
      </c>
      <c r="N5" s="115">
        <v>43100</v>
      </c>
      <c r="O5" s="115">
        <v>43465</v>
      </c>
    </row>
    <row r="6" spans="1:15" ht="15" customHeight="1" x14ac:dyDescent="0.2">
      <c r="A6" s="29"/>
      <c r="B6" s="141"/>
      <c r="C6" s="159"/>
      <c r="D6" s="159"/>
      <c r="E6" s="159"/>
      <c r="F6" s="159"/>
      <c r="G6" s="159"/>
      <c r="H6" s="159"/>
      <c r="I6" s="159"/>
      <c r="J6" s="159"/>
      <c r="K6" s="159"/>
      <c r="L6" s="159"/>
      <c r="M6" s="159"/>
      <c r="N6" s="159"/>
      <c r="O6" s="159"/>
    </row>
    <row r="7" spans="1:15" ht="15" customHeight="1" x14ac:dyDescent="0.2">
      <c r="A7" s="5" t="s">
        <v>106</v>
      </c>
      <c r="D7" s="8"/>
      <c r="E7" s="8"/>
      <c r="F7" s="43"/>
      <c r="G7" s="43"/>
      <c r="H7" s="43"/>
      <c r="I7" s="43"/>
      <c r="J7" s="43"/>
      <c r="K7" s="43"/>
      <c r="L7" s="43"/>
      <c r="M7" s="43"/>
      <c r="N7" s="43"/>
      <c r="O7" s="43"/>
    </row>
    <row r="8" spans="1:15" s="147" customFormat="1" ht="15" customHeight="1" x14ac:dyDescent="0.2">
      <c r="B8" s="10" t="s">
        <v>251</v>
      </c>
      <c r="C8" s="152">
        <f>C16</f>
        <v>7942.3255153799992</v>
      </c>
      <c r="D8" s="152">
        <f>D16</f>
        <v>14803.015914939995</v>
      </c>
      <c r="E8" s="152">
        <f>E16</f>
        <v>11048.392198670001</v>
      </c>
      <c r="F8" s="45">
        <v>11048.392198670001</v>
      </c>
      <c r="G8" s="45">
        <v>11048.392198670001</v>
      </c>
      <c r="H8" s="45">
        <v>11048.392198670001</v>
      </c>
      <c r="I8" s="45">
        <v>11048.392198670001</v>
      </c>
      <c r="J8" s="45">
        <v>11048.392198670001</v>
      </c>
      <c r="K8" s="45">
        <v>11048.392198670001</v>
      </c>
      <c r="L8" s="45">
        <v>11048.392198670001</v>
      </c>
      <c r="M8" s="45">
        <v>11048.392198670001</v>
      </c>
      <c r="N8" s="45">
        <v>11048.392198670001</v>
      </c>
      <c r="O8" s="45">
        <v>11048.392198670001</v>
      </c>
    </row>
    <row r="9" spans="1:15" ht="15" customHeight="1" x14ac:dyDescent="0.2">
      <c r="D9" s="144"/>
      <c r="F9" s="144"/>
    </row>
    <row r="10" spans="1:15" ht="15" customHeight="1" x14ac:dyDescent="0.2">
      <c r="A10" s="35" t="s">
        <v>0</v>
      </c>
      <c r="B10" s="147"/>
      <c r="C10" s="148"/>
      <c r="D10" s="147"/>
      <c r="E10" s="147"/>
      <c r="F10" s="148"/>
      <c r="G10" s="147"/>
      <c r="H10" s="147"/>
      <c r="I10" s="147"/>
      <c r="J10" s="147"/>
      <c r="K10" s="147"/>
      <c r="L10" s="147"/>
      <c r="M10" s="147"/>
      <c r="N10" s="147"/>
      <c r="O10" s="147"/>
    </row>
    <row r="11" spans="1:15" ht="15" customHeight="1" x14ac:dyDescent="0.2">
      <c r="B11" s="1" t="s">
        <v>1</v>
      </c>
      <c r="C11" s="8">
        <v>2523.1685794099999</v>
      </c>
      <c r="D11" s="9">
        <v>2798.3957029000003</v>
      </c>
      <c r="E11" s="9">
        <v>2470.51138932</v>
      </c>
      <c r="F11" s="51">
        <f ca="1">CFS!F46</f>
        <v>1108.1653161185063</v>
      </c>
      <c r="G11" s="51">
        <f ca="1">CFS!G46</f>
        <v>1603.2756165229916</v>
      </c>
      <c r="H11" s="51">
        <f ca="1">CFS!H46</f>
        <v>9100.6238431902893</v>
      </c>
      <c r="I11" s="51">
        <f ca="1">CFS!I46</f>
        <v>18652.704327349897</v>
      </c>
      <c r="J11" s="51">
        <f ca="1">CFS!J46</f>
        <v>28300.491267026962</v>
      </c>
      <c r="K11" s="51">
        <f ca="1">CFS!K46</f>
        <v>38065.9376012211</v>
      </c>
      <c r="L11" s="51">
        <f ca="1">CFS!L46</f>
        <v>47956.372244190352</v>
      </c>
      <c r="M11" s="51">
        <f ca="1">CFS!M46</f>
        <v>55030.892292155622</v>
      </c>
      <c r="N11" s="51">
        <f ca="1">CFS!N46</f>
        <v>61367.974187710068</v>
      </c>
      <c r="O11" s="51">
        <f ca="1">CFS!O46</f>
        <v>71816.382218037703</v>
      </c>
    </row>
    <row r="12" spans="1:15" ht="15" customHeight="1" x14ac:dyDescent="0.2">
      <c r="B12" s="1" t="s">
        <v>137</v>
      </c>
      <c r="C12" s="8">
        <v>1199.3559790300001</v>
      </c>
      <c r="D12" s="9">
        <v>1923.4075569900001</v>
      </c>
      <c r="E12" s="9">
        <v>2616.0759306999998</v>
      </c>
      <c r="F12" s="51">
        <f>Cals!F29</f>
        <v>2741.5619578620003</v>
      </c>
      <c r="G12" s="51">
        <f>Cals!G29</f>
        <v>2795.3932440945005</v>
      </c>
      <c r="H12" s="51">
        <f>Cals!H29</f>
        <v>2860.1507219670007</v>
      </c>
      <c r="I12" s="51">
        <f>Cals!I29</f>
        <v>2924.9081998395</v>
      </c>
      <c r="J12" s="51">
        <f>Cals!J29</f>
        <v>2989.6656777119997</v>
      </c>
      <c r="K12" s="51">
        <f>Cals!K29</f>
        <v>3054.4231555844999</v>
      </c>
      <c r="L12" s="51">
        <f>Cals!L29</f>
        <v>3119.1806334570001</v>
      </c>
      <c r="M12" s="51">
        <f>Cals!M29</f>
        <v>3185.9634152640006</v>
      </c>
      <c r="N12" s="51">
        <f>Cals!N29</f>
        <v>3252.7461970710001</v>
      </c>
      <c r="O12" s="51">
        <f>Cals!O29</f>
        <v>3319.5289788780005</v>
      </c>
    </row>
    <row r="13" spans="1:15" ht="15" customHeight="1" x14ac:dyDescent="0.2">
      <c r="B13" s="1" t="s">
        <v>138</v>
      </c>
      <c r="C13" s="8">
        <v>215.2833637800004</v>
      </c>
      <c r="D13" s="8">
        <v>202.76364242</v>
      </c>
      <c r="E13" s="8">
        <v>232.79244879999999</v>
      </c>
      <c r="F13" s="51">
        <f>Cals!F30</f>
        <v>388.97336928240003</v>
      </c>
      <c r="G13" s="51">
        <f>Cals!G30</f>
        <v>566.87974624428</v>
      </c>
      <c r="H13" s="51">
        <f>Cals!H30</f>
        <v>580.01196036168017</v>
      </c>
      <c r="I13" s="51">
        <f>Cals!I30</f>
        <v>593.14417447907999</v>
      </c>
      <c r="J13" s="51">
        <f>Cals!J30</f>
        <v>606.27638859648005</v>
      </c>
      <c r="K13" s="51">
        <f>Cals!K30</f>
        <v>619.40860271387999</v>
      </c>
      <c r="L13" s="51">
        <f>Cals!L30</f>
        <v>632.54081683128004</v>
      </c>
      <c r="M13" s="51">
        <f>Cals!M30</f>
        <v>646.08374374656</v>
      </c>
      <c r="N13" s="51">
        <f>Cals!N30</f>
        <v>659.62667066183997</v>
      </c>
      <c r="O13" s="51">
        <f>Cals!O30</f>
        <v>673.16959757712004</v>
      </c>
    </row>
    <row r="14" spans="1:15" ht="15" customHeight="1" x14ac:dyDescent="0.2">
      <c r="B14" s="30" t="s">
        <v>2</v>
      </c>
      <c r="C14" s="31">
        <f t="shared" ref="C14:O14" si="0">SUM(C11:C13)</f>
        <v>3937.8079222200004</v>
      </c>
      <c r="D14" s="31">
        <f t="shared" si="0"/>
        <v>4924.5669023100008</v>
      </c>
      <c r="E14" s="31">
        <f t="shared" si="0"/>
        <v>5319.3797688200002</v>
      </c>
      <c r="F14" s="31">
        <f t="shared" ca="1" si="0"/>
        <v>4238.7006432629069</v>
      </c>
      <c r="G14" s="31">
        <f t="shared" ca="1" si="0"/>
        <v>4965.548606861772</v>
      </c>
      <c r="H14" s="31">
        <f t="shared" ca="1" si="0"/>
        <v>12540.78652551897</v>
      </c>
      <c r="I14" s="31">
        <f t="shared" ca="1" si="0"/>
        <v>22170.756701668477</v>
      </c>
      <c r="J14" s="31">
        <f t="shared" ca="1" si="0"/>
        <v>31896.433333335444</v>
      </c>
      <c r="K14" s="31">
        <f t="shared" ca="1" si="0"/>
        <v>41739.76935951948</v>
      </c>
      <c r="L14" s="31">
        <f t="shared" ca="1" si="0"/>
        <v>51708.09369447863</v>
      </c>
      <c r="M14" s="31">
        <f t="shared" ca="1" si="0"/>
        <v>58862.939451166181</v>
      </c>
      <c r="N14" s="31">
        <f t="shared" ca="1" si="0"/>
        <v>65280.347055442908</v>
      </c>
      <c r="O14" s="31">
        <f t="shared" ca="1" si="0"/>
        <v>75809.080794492824</v>
      </c>
    </row>
    <row r="15" spans="1:15" ht="15" customHeight="1" x14ac:dyDescent="0.2">
      <c r="B15" s="25"/>
      <c r="C15" s="12"/>
      <c r="D15" s="12"/>
      <c r="E15" s="12"/>
      <c r="F15" s="12"/>
      <c r="G15" s="12"/>
      <c r="H15" s="12"/>
      <c r="I15" s="12"/>
      <c r="J15" s="12"/>
      <c r="K15" s="12"/>
      <c r="L15" s="12"/>
      <c r="M15" s="12"/>
      <c r="N15" s="12"/>
      <c r="O15" s="12"/>
    </row>
    <row r="16" spans="1:15" ht="15" customHeight="1" x14ac:dyDescent="0.2">
      <c r="B16" s="1" t="s">
        <v>49</v>
      </c>
      <c r="C16" s="8">
        <v>7942.3255153799992</v>
      </c>
      <c r="D16" s="8">
        <v>14803.015914939995</v>
      </c>
      <c r="E16" s="8">
        <v>11048.392198670001</v>
      </c>
      <c r="F16" s="51">
        <f t="shared" ref="F16:O16" si="1">F8</f>
        <v>11048.392198670001</v>
      </c>
      <c r="G16" s="51">
        <f t="shared" si="1"/>
        <v>11048.392198670001</v>
      </c>
      <c r="H16" s="51">
        <f t="shared" si="1"/>
        <v>11048.392198670001</v>
      </c>
      <c r="I16" s="51">
        <f t="shared" si="1"/>
        <v>11048.392198670001</v>
      </c>
      <c r="J16" s="51">
        <f t="shared" si="1"/>
        <v>11048.392198670001</v>
      </c>
      <c r="K16" s="51">
        <f t="shared" si="1"/>
        <v>11048.392198670001</v>
      </c>
      <c r="L16" s="51">
        <f t="shared" si="1"/>
        <v>11048.392198670001</v>
      </c>
      <c r="M16" s="51">
        <f t="shared" si="1"/>
        <v>11048.392198670001</v>
      </c>
      <c r="N16" s="51">
        <f t="shared" si="1"/>
        <v>11048.392198670001</v>
      </c>
      <c r="O16" s="51">
        <f t="shared" si="1"/>
        <v>11048.392198670001</v>
      </c>
    </row>
    <row r="17" spans="1:15" ht="15" customHeight="1" x14ac:dyDescent="0.2">
      <c r="B17" s="1" t="s">
        <v>139</v>
      </c>
      <c r="C17" s="8">
        <v>33474.08493366</v>
      </c>
      <c r="D17" s="9">
        <v>42305.181397079999</v>
      </c>
      <c r="E17" s="9">
        <v>40502.055895979996</v>
      </c>
      <c r="F17" s="51">
        <f>'PP&amp;E'!F39</f>
        <v>144090.97794770318</v>
      </c>
      <c r="G17" s="51">
        <f>'PP&amp;E'!G39</f>
        <v>138558.3861251105</v>
      </c>
      <c r="H17" s="51">
        <f>'PP&amp;E'!H39</f>
        <v>133153.86592316261</v>
      </c>
      <c r="I17" s="51">
        <f>'PP&amp;E'!I39</f>
        <v>127867.57932354776</v>
      </c>
      <c r="J17" s="51">
        <f>'PP&amp;E'!J39</f>
        <v>122690.17227652339</v>
      </c>
      <c r="K17" s="51">
        <f>'PP&amp;E'!K39</f>
        <v>117612.74274658285</v>
      </c>
      <c r="L17" s="51">
        <f>'PP&amp;E'!L39</f>
        <v>112626.81114335364</v>
      </c>
      <c r="M17" s="51">
        <f>'PP&amp;E'!M39</f>
        <v>107724.29296792486</v>
      </c>
      <c r="N17" s="51">
        <f>'PP&amp;E'!N39</f>
        <v>102897.47351930778</v>
      </c>
      <c r="O17" s="51">
        <f>'PP&amp;E'!O39</f>
        <v>98138.984519041856</v>
      </c>
    </row>
    <row r="18" spans="1:15" ht="15" customHeight="1" x14ac:dyDescent="0.2">
      <c r="B18" s="1" t="s">
        <v>140</v>
      </c>
      <c r="C18" s="8">
        <v>32.667748899999999</v>
      </c>
      <c r="D18" s="9">
        <v>25.249421359999999</v>
      </c>
      <c r="E18" s="9">
        <v>22.485582839999999</v>
      </c>
      <c r="F18" s="51">
        <f>Cals!F20</f>
        <v>22.485582839999999</v>
      </c>
      <c r="G18" s="51">
        <f>Cals!G20</f>
        <v>22.485582839999999</v>
      </c>
      <c r="H18" s="51">
        <f>Cals!H20</f>
        <v>22.485582839999999</v>
      </c>
      <c r="I18" s="51">
        <f>Cals!I20</f>
        <v>22.485582839999999</v>
      </c>
      <c r="J18" s="51">
        <f>Cals!J20</f>
        <v>22.485582839999999</v>
      </c>
      <c r="K18" s="51">
        <f>Cals!K20</f>
        <v>22.485582839999999</v>
      </c>
      <c r="L18" s="51">
        <f>Cals!L20</f>
        <v>22.485582839999999</v>
      </c>
      <c r="M18" s="51">
        <f>Cals!M20</f>
        <v>22.485582839999999</v>
      </c>
      <c r="N18" s="51">
        <f>Cals!N20</f>
        <v>22.485582839999999</v>
      </c>
      <c r="O18" s="51">
        <f>Cals!O20</f>
        <v>22.485582839999999</v>
      </c>
    </row>
    <row r="19" spans="1:15" ht="15" customHeight="1" x14ac:dyDescent="0.2">
      <c r="B19" s="30" t="s">
        <v>3</v>
      </c>
      <c r="C19" s="32">
        <f t="shared" ref="C19:O19" si="2">C14+SUM(C16:C18)</f>
        <v>45386.886120160001</v>
      </c>
      <c r="D19" s="32">
        <f t="shared" si="2"/>
        <v>62058.013635689997</v>
      </c>
      <c r="E19" s="32">
        <f t="shared" si="2"/>
        <v>56892.31344631</v>
      </c>
      <c r="F19" s="32">
        <f t="shared" ca="1" si="2"/>
        <v>159400.55637247607</v>
      </c>
      <c r="G19" s="32">
        <f t="shared" ca="1" si="2"/>
        <v>154594.81251348226</v>
      </c>
      <c r="H19" s="32">
        <f t="shared" ca="1" si="2"/>
        <v>156765.53023019159</v>
      </c>
      <c r="I19" s="32">
        <f t="shared" ca="1" si="2"/>
        <v>161109.21380672621</v>
      </c>
      <c r="J19" s="32">
        <f t="shared" ca="1" si="2"/>
        <v>165657.48339136882</v>
      </c>
      <c r="K19" s="32">
        <f t="shared" ca="1" si="2"/>
        <v>170423.38988761234</v>
      </c>
      <c r="L19" s="32">
        <f t="shared" ca="1" si="2"/>
        <v>175405.78261934227</v>
      </c>
      <c r="M19" s="32">
        <f t="shared" ca="1" si="2"/>
        <v>177658.11020060105</v>
      </c>
      <c r="N19" s="32">
        <f t="shared" ca="1" si="2"/>
        <v>179248.69835626069</v>
      </c>
      <c r="O19" s="32">
        <f t="shared" ca="1" si="2"/>
        <v>185018.9430950447</v>
      </c>
    </row>
    <row r="20" spans="1:15" ht="15" customHeight="1" x14ac:dyDescent="0.2">
      <c r="C20" s="129"/>
      <c r="D20" s="129"/>
      <c r="E20" s="129"/>
    </row>
    <row r="21" spans="1:15" ht="15" customHeight="1" x14ac:dyDescent="0.2">
      <c r="A21" s="35" t="s">
        <v>141</v>
      </c>
      <c r="B21" s="147"/>
      <c r="C21" s="16"/>
      <c r="D21" s="16"/>
      <c r="E21" s="16"/>
      <c r="F21" s="16"/>
      <c r="G21" s="16"/>
      <c r="H21" s="16"/>
      <c r="I21" s="16"/>
      <c r="J21" s="16"/>
      <c r="K21" s="16"/>
      <c r="L21" s="16"/>
      <c r="M21" s="16"/>
      <c r="N21" s="16"/>
      <c r="O21" s="16"/>
    </row>
    <row r="22" spans="1:15" ht="15" customHeight="1" x14ac:dyDescent="0.2">
      <c r="A22" s="148"/>
      <c r="B22" s="10" t="s">
        <v>142</v>
      </c>
      <c r="C22" s="9">
        <v>0</v>
      </c>
      <c r="D22" s="9">
        <v>0</v>
      </c>
      <c r="E22" s="9">
        <v>0</v>
      </c>
      <c r="F22" s="51">
        <f ca="1">CFS!F45</f>
        <v>0</v>
      </c>
      <c r="G22" s="51">
        <f ca="1">CFS!G45</f>
        <v>0</v>
      </c>
      <c r="H22" s="51">
        <f ca="1">CFS!H45</f>
        <v>0</v>
      </c>
      <c r="I22" s="51">
        <f ca="1">CFS!I45</f>
        <v>0</v>
      </c>
      <c r="J22" s="51">
        <f ca="1">CFS!J45</f>
        <v>0</v>
      </c>
      <c r="K22" s="51">
        <f ca="1">CFS!K45</f>
        <v>0</v>
      </c>
      <c r="L22" s="51">
        <f ca="1">CFS!L45</f>
        <v>0</v>
      </c>
      <c r="M22" s="51">
        <f ca="1">CFS!M45</f>
        <v>0</v>
      </c>
      <c r="N22" s="51">
        <f ca="1">CFS!N45</f>
        <v>0</v>
      </c>
      <c r="O22" s="51">
        <f ca="1">CFS!O45</f>
        <v>0</v>
      </c>
    </row>
    <row r="23" spans="1:15" ht="15" customHeight="1" x14ac:dyDescent="0.2">
      <c r="B23" s="1" t="s">
        <v>4</v>
      </c>
      <c r="C23" s="8">
        <v>5811.4396116700009</v>
      </c>
      <c r="D23" s="9">
        <v>8182.4880159999993</v>
      </c>
      <c r="E23" s="9">
        <v>5661.4824732900006</v>
      </c>
      <c r="F23" s="51">
        <f>Financing!F23</f>
        <v>23161.482473290002</v>
      </c>
      <c r="G23" s="51">
        <f>Financing!G23</f>
        <v>5661.4824732900015</v>
      </c>
      <c r="H23" s="51">
        <f>Financing!H23</f>
        <v>5661.4824732900015</v>
      </c>
      <c r="I23" s="51">
        <f>Financing!I23</f>
        <v>5661.4824732900015</v>
      </c>
      <c r="J23" s="51">
        <f>Financing!J23</f>
        <v>5661.4824732900015</v>
      </c>
      <c r="K23" s="51">
        <f>Financing!K23</f>
        <v>5661.4824732900015</v>
      </c>
      <c r="L23" s="51">
        <f>Financing!L23</f>
        <v>5661.4824732900015</v>
      </c>
      <c r="M23" s="51">
        <f>Financing!M23</f>
        <v>5661.4824732900015</v>
      </c>
      <c r="N23" s="51">
        <f>Financing!N23</f>
        <v>5661.4824732900015</v>
      </c>
      <c r="O23" s="51">
        <f>Financing!O23</f>
        <v>5661.4824732900015</v>
      </c>
    </row>
    <row r="24" spans="1:15" s="147" customFormat="1" ht="15" customHeight="1" x14ac:dyDescent="0.2">
      <c r="B24" s="232" t="s">
        <v>277</v>
      </c>
      <c r="C24" s="48">
        <v>916.51385585000003</v>
      </c>
      <c r="D24" s="21">
        <v>484.61216120000006</v>
      </c>
      <c r="E24" s="21">
        <v>1103.4929159399999</v>
      </c>
      <c r="F24" s="53">
        <f>Cals!F32</f>
        <v>618.33644460000005</v>
      </c>
      <c r="G24" s="53">
        <f>Cals!G32</f>
        <v>0</v>
      </c>
      <c r="H24" s="53">
        <f>Cals!H32</f>
        <v>0</v>
      </c>
      <c r="I24" s="53">
        <f>Cals!I32</f>
        <v>0</v>
      </c>
      <c r="J24" s="53">
        <f>Cals!J32</f>
        <v>0</v>
      </c>
      <c r="K24" s="53">
        <f>Cals!K32</f>
        <v>0</v>
      </c>
      <c r="L24" s="53">
        <f>Cals!L32</f>
        <v>0</v>
      </c>
      <c r="M24" s="53">
        <f>Cals!M32</f>
        <v>0</v>
      </c>
      <c r="N24" s="53">
        <f>Cals!N32</f>
        <v>0</v>
      </c>
      <c r="O24" s="53">
        <f>Cals!O32</f>
        <v>0</v>
      </c>
    </row>
    <row r="25" spans="1:15" s="147" customFormat="1" ht="15" customHeight="1" x14ac:dyDescent="0.2">
      <c r="B25" s="239" t="s">
        <v>283</v>
      </c>
      <c r="C25" s="48">
        <v>1237.09420413</v>
      </c>
      <c r="D25" s="21">
        <v>1387.0650748399999</v>
      </c>
      <c r="E25" s="21">
        <v>1804.5231584400001</v>
      </c>
      <c r="F25" s="53">
        <f>Cals!F33</f>
        <v>2110.1788728719998</v>
      </c>
      <c r="G25" s="53">
        <f>Cals!G33</f>
        <v>2860.4023893060003</v>
      </c>
      <c r="H25" s="53">
        <f>Cals!H33</f>
        <v>2926.6658550360007</v>
      </c>
      <c r="I25" s="53">
        <f>Cals!I33</f>
        <v>2992.9293207659998</v>
      </c>
      <c r="J25" s="53">
        <f>Cals!J33</f>
        <v>3059.1927864959994</v>
      </c>
      <c r="K25" s="53">
        <f>Cals!K33</f>
        <v>3125.4562522259998</v>
      </c>
      <c r="L25" s="53">
        <f>Cals!L33</f>
        <v>3191.7197179560003</v>
      </c>
      <c r="M25" s="53">
        <f>Cals!M33</f>
        <v>3260.055587712</v>
      </c>
      <c r="N25" s="53">
        <f>Cals!N33</f>
        <v>3328.3914574679998</v>
      </c>
      <c r="O25" s="53">
        <f>Cals!O33</f>
        <v>3396.7273272240004</v>
      </c>
    </row>
    <row r="26" spans="1:15" ht="15" customHeight="1" x14ac:dyDescent="0.2">
      <c r="B26" s="30" t="s">
        <v>5</v>
      </c>
      <c r="C26" s="31">
        <f t="shared" ref="C26:O26" si="3">SUM(C22:C25)</f>
        <v>7965.0476716500016</v>
      </c>
      <c r="D26" s="31">
        <f t="shared" si="3"/>
        <v>10054.16525204</v>
      </c>
      <c r="E26" s="31">
        <f t="shared" si="3"/>
        <v>8569.4985476700003</v>
      </c>
      <c r="F26" s="31">
        <f t="shared" ca="1" si="3"/>
        <v>25889.997790762001</v>
      </c>
      <c r="G26" s="31">
        <f t="shared" ca="1" si="3"/>
        <v>8521.8848625960018</v>
      </c>
      <c r="H26" s="31">
        <f t="shared" ca="1" si="3"/>
        <v>8588.1483283260022</v>
      </c>
      <c r="I26" s="31">
        <f t="shared" ca="1" si="3"/>
        <v>8654.4117940560009</v>
      </c>
      <c r="J26" s="31">
        <f t="shared" ca="1" si="3"/>
        <v>8720.6752597860013</v>
      </c>
      <c r="K26" s="31">
        <f t="shared" ca="1" si="3"/>
        <v>8786.9387255160018</v>
      </c>
      <c r="L26" s="31">
        <f t="shared" ca="1" si="3"/>
        <v>8853.2021912460023</v>
      </c>
      <c r="M26" s="31">
        <f t="shared" ca="1" si="3"/>
        <v>8921.538061002002</v>
      </c>
      <c r="N26" s="31">
        <f t="shared" ca="1" si="3"/>
        <v>8989.8739307580017</v>
      </c>
      <c r="O26" s="31">
        <f t="shared" ca="1" si="3"/>
        <v>9058.2098005140015</v>
      </c>
    </row>
    <row r="27" spans="1:15" ht="15" customHeight="1" x14ac:dyDescent="0.2">
      <c r="B27" s="239"/>
      <c r="C27" s="129"/>
      <c r="D27" s="129"/>
      <c r="E27" s="129"/>
      <c r="F27" s="129"/>
      <c r="G27" s="129"/>
      <c r="H27" s="129"/>
      <c r="I27" s="129"/>
      <c r="J27" s="129"/>
      <c r="K27" s="129"/>
      <c r="L27" s="129"/>
      <c r="M27" s="129"/>
      <c r="N27" s="129"/>
      <c r="O27" s="129"/>
    </row>
    <row r="28" spans="1:15" ht="15" customHeight="1" x14ac:dyDescent="0.2">
      <c r="B28" s="1" t="s">
        <v>6</v>
      </c>
      <c r="C28" s="8">
        <v>8500</v>
      </c>
      <c r="D28" s="9">
        <v>6800</v>
      </c>
      <c r="E28" s="9">
        <v>6800</v>
      </c>
      <c r="F28" s="51">
        <f>Financing!F27</f>
        <v>48800</v>
      </c>
      <c r="G28" s="51">
        <f>Financing!G27</f>
        <v>59800</v>
      </c>
      <c r="H28" s="51">
        <f>Financing!H27</f>
        <v>59800</v>
      </c>
      <c r="I28" s="51">
        <f>Financing!I27</f>
        <v>59800</v>
      </c>
      <c r="J28" s="51">
        <f>Financing!J27</f>
        <v>59800</v>
      </c>
      <c r="K28" s="51">
        <f>Financing!K27</f>
        <v>59800</v>
      </c>
      <c r="L28" s="51">
        <f>Financing!L27</f>
        <v>59800</v>
      </c>
      <c r="M28" s="51">
        <f>Financing!M27</f>
        <v>59800</v>
      </c>
      <c r="N28" s="51">
        <f>Financing!N27</f>
        <v>59800</v>
      </c>
      <c r="O28" s="51">
        <f>Financing!O27</f>
        <v>59800</v>
      </c>
    </row>
    <row r="29" spans="1:15" ht="15" customHeight="1" x14ac:dyDescent="0.2">
      <c r="B29" s="1" t="s">
        <v>143</v>
      </c>
      <c r="C29" s="8">
        <v>0</v>
      </c>
      <c r="D29" s="9">
        <v>3950.6178333400003</v>
      </c>
      <c r="E29" s="9">
        <v>3955.7263333400001</v>
      </c>
      <c r="F29" s="51">
        <f>Financing!F31</f>
        <v>23955.726333340001</v>
      </c>
      <c r="G29" s="51">
        <f>Financing!G31</f>
        <v>20955.726333340001</v>
      </c>
      <c r="H29" s="51">
        <f>Financing!H31</f>
        <v>18955.726333340001</v>
      </c>
      <c r="I29" s="51">
        <f>Financing!I31</f>
        <v>18955.726333340001</v>
      </c>
      <c r="J29" s="51">
        <f>Financing!J31</f>
        <v>18955.726333340001</v>
      </c>
      <c r="K29" s="51">
        <f>Financing!K31</f>
        <v>18955.726333340001</v>
      </c>
      <c r="L29" s="51">
        <f>Financing!L31</f>
        <v>18955.726333340001</v>
      </c>
      <c r="M29" s="51">
        <f>Financing!M31</f>
        <v>15955.726333340001</v>
      </c>
      <c r="N29" s="51">
        <f>Financing!N31</f>
        <v>12000</v>
      </c>
      <c r="O29" s="51">
        <f>Financing!O31</f>
        <v>12000</v>
      </c>
    </row>
    <row r="30" spans="1:15" ht="15" customHeight="1" x14ac:dyDescent="0.2">
      <c r="B30" s="30" t="s">
        <v>7</v>
      </c>
      <c r="C30" s="31">
        <f t="shared" ref="C30:O30" si="4">C26+SUM(C28:C29)</f>
        <v>16465.047671650002</v>
      </c>
      <c r="D30" s="31">
        <f t="shared" si="4"/>
        <v>20804.783085380001</v>
      </c>
      <c r="E30" s="31">
        <f t="shared" si="4"/>
        <v>19325.224881009999</v>
      </c>
      <c r="F30" s="31">
        <f t="shared" ca="1" si="4"/>
        <v>98645.724124102009</v>
      </c>
      <c r="G30" s="31">
        <f t="shared" ca="1" si="4"/>
        <v>89277.611195936013</v>
      </c>
      <c r="H30" s="31">
        <f t="shared" ca="1" si="4"/>
        <v>87343.874661666006</v>
      </c>
      <c r="I30" s="31">
        <f t="shared" ca="1" si="4"/>
        <v>87410.138127396</v>
      </c>
      <c r="J30" s="31">
        <f t="shared" ca="1" si="4"/>
        <v>87476.401593126007</v>
      </c>
      <c r="K30" s="31">
        <f t="shared" ca="1" si="4"/>
        <v>87542.665058856001</v>
      </c>
      <c r="L30" s="31">
        <f t="shared" ca="1" si="4"/>
        <v>87608.928524586008</v>
      </c>
      <c r="M30" s="31">
        <f t="shared" ca="1" si="4"/>
        <v>84677.264394342012</v>
      </c>
      <c r="N30" s="31">
        <f t="shared" ca="1" si="4"/>
        <v>80789.873930757996</v>
      </c>
      <c r="O30" s="31">
        <f t="shared" ca="1" si="4"/>
        <v>80858.209800514</v>
      </c>
    </row>
    <row r="31" spans="1:15" s="149" customFormat="1" ht="15" customHeight="1" x14ac:dyDescent="0.2">
      <c r="B31" s="150"/>
      <c r="C31" s="129"/>
      <c r="D31" s="129"/>
      <c r="E31" s="129"/>
      <c r="F31" s="129"/>
      <c r="G31" s="129"/>
      <c r="H31" s="129"/>
      <c r="I31" s="129"/>
      <c r="J31" s="129"/>
      <c r="K31" s="129"/>
      <c r="L31" s="129"/>
      <c r="M31" s="129"/>
      <c r="N31" s="129"/>
      <c r="O31" s="129"/>
    </row>
    <row r="32" spans="1:15" s="149" customFormat="1" ht="15" customHeight="1" x14ac:dyDescent="0.2">
      <c r="B32" s="3" t="s">
        <v>144</v>
      </c>
      <c r="C32" s="8">
        <v>23000.638808690001</v>
      </c>
      <c r="D32" s="8">
        <v>32174.399974790002</v>
      </c>
      <c r="E32" s="8">
        <v>27351.579976519999</v>
      </c>
      <c r="F32" s="52">
        <f>Financing!F48</f>
        <v>47351.579976519999</v>
      </c>
      <c r="G32" s="52">
        <f>Financing!G48</f>
        <v>47351.579976519999</v>
      </c>
      <c r="H32" s="52">
        <f>Financing!H48</f>
        <v>47351.579976519999</v>
      </c>
      <c r="I32" s="52">
        <f>Financing!I48</f>
        <v>47351.579976519999</v>
      </c>
      <c r="J32" s="52">
        <f>Financing!J48</f>
        <v>47351.579976519999</v>
      </c>
      <c r="K32" s="52">
        <f>Financing!K48</f>
        <v>47351.579976519999</v>
      </c>
      <c r="L32" s="52">
        <f>Financing!L48</f>
        <v>47351.579976519999</v>
      </c>
      <c r="M32" s="52">
        <f>Financing!M48</f>
        <v>47351.579976519999</v>
      </c>
      <c r="N32" s="52">
        <f>Financing!N48</f>
        <v>47351.579976519999</v>
      </c>
      <c r="O32" s="52">
        <f>Financing!O48</f>
        <v>47351.579976519999</v>
      </c>
    </row>
    <row r="33" spans="1:15" s="149" customFormat="1" ht="15" customHeight="1" x14ac:dyDescent="0.2">
      <c r="B33" s="3" t="s">
        <v>145</v>
      </c>
      <c r="C33" s="8">
        <v>5921.1996398200008</v>
      </c>
      <c r="D33" s="8">
        <v>9078.8305755199999</v>
      </c>
      <c r="E33" s="8">
        <v>10215.50858878</v>
      </c>
      <c r="F33" s="52">
        <f ca="1">Cals!F26</f>
        <v>13403.252271854126</v>
      </c>
      <c r="G33" s="52">
        <f ca="1">Cals!G26</f>
        <v>17965.621341026304</v>
      </c>
      <c r="H33" s="52">
        <f ca="1">Cals!H26</f>
        <v>22070.075592005636</v>
      </c>
      <c r="I33" s="52">
        <f ca="1">Cals!I26</f>
        <v>26347.495702810287</v>
      </c>
      <c r="J33" s="52">
        <f ca="1">Cals!J26</f>
        <v>30829.501821722875</v>
      </c>
      <c r="K33" s="52">
        <f ca="1">Cals!K26</f>
        <v>35529.144852236372</v>
      </c>
      <c r="L33" s="52">
        <f ca="1">Cals!L26</f>
        <v>40445.27411823631</v>
      </c>
      <c r="M33" s="52">
        <f ca="1">Cals!M26</f>
        <v>45629.265829739081</v>
      </c>
      <c r="N33" s="52">
        <f ca="1">Cals!N26</f>
        <v>51107.244448982725</v>
      </c>
      <c r="O33" s="52">
        <f ca="1">Cals!O26</f>
        <v>56809.153318010707</v>
      </c>
    </row>
    <row r="34" spans="1:15" ht="15" customHeight="1" x14ac:dyDescent="0.2">
      <c r="B34" s="30" t="s">
        <v>8</v>
      </c>
      <c r="C34" s="31">
        <f>SUM(C32:C33)</f>
        <v>28921.838448510003</v>
      </c>
      <c r="D34" s="31">
        <f t="shared" ref="D34:O34" si="5">SUM(D32:D33)</f>
        <v>41253.23055031</v>
      </c>
      <c r="E34" s="31">
        <f t="shared" si="5"/>
        <v>37567.0885653</v>
      </c>
      <c r="F34" s="31">
        <f t="shared" ca="1" si="5"/>
        <v>60754.832248374121</v>
      </c>
      <c r="G34" s="31">
        <f t="shared" ca="1" si="5"/>
        <v>65317.201317546307</v>
      </c>
      <c r="H34" s="31">
        <f t="shared" ca="1" si="5"/>
        <v>69421.655568525632</v>
      </c>
      <c r="I34" s="31">
        <f t="shared" ca="1" si="5"/>
        <v>73699.075679330286</v>
      </c>
      <c r="J34" s="31">
        <f t="shared" ca="1" si="5"/>
        <v>78181.081798242871</v>
      </c>
      <c r="K34" s="31">
        <f t="shared" ca="1" si="5"/>
        <v>82880.724828756371</v>
      </c>
      <c r="L34" s="31">
        <f t="shared" ca="1" si="5"/>
        <v>87796.854094756301</v>
      </c>
      <c r="M34" s="31">
        <f t="shared" ca="1" si="5"/>
        <v>92980.84580625908</v>
      </c>
      <c r="N34" s="31">
        <f t="shared" ca="1" si="5"/>
        <v>98458.824425502724</v>
      </c>
      <c r="O34" s="31">
        <f t="shared" ca="1" si="5"/>
        <v>104160.73329453071</v>
      </c>
    </row>
    <row r="35" spans="1:15" s="149" customFormat="1" ht="15" customHeight="1" x14ac:dyDescent="0.2">
      <c r="B35" s="150"/>
    </row>
    <row r="36" spans="1:15" ht="15" customHeight="1" x14ac:dyDescent="0.2">
      <c r="B36" s="33" t="s">
        <v>9</v>
      </c>
      <c r="C36" s="32">
        <f>C30+C34</f>
        <v>45386.886120160008</v>
      </c>
      <c r="D36" s="32">
        <f>D30+D34</f>
        <v>62058.013635690004</v>
      </c>
      <c r="E36" s="32">
        <f>E30+E34</f>
        <v>56892.31344631</v>
      </c>
      <c r="F36" s="32">
        <f ca="1">F30+F34</f>
        <v>159400.55637247613</v>
      </c>
      <c r="G36" s="32">
        <f t="shared" ref="G36:O36" ca="1" si="6">G30+G34</f>
        <v>154594.81251348232</v>
      </c>
      <c r="H36" s="32">
        <f t="shared" ca="1" si="6"/>
        <v>156765.53023019165</v>
      </c>
      <c r="I36" s="32">
        <f t="shared" ca="1" si="6"/>
        <v>161109.21380672627</v>
      </c>
      <c r="J36" s="32">
        <f t="shared" ca="1" si="6"/>
        <v>165657.48339136888</v>
      </c>
      <c r="K36" s="32">
        <f t="shared" ca="1" si="6"/>
        <v>170423.38988761237</v>
      </c>
      <c r="L36" s="32">
        <f t="shared" ca="1" si="6"/>
        <v>175405.78261934232</v>
      </c>
      <c r="M36" s="32">
        <f t="shared" ca="1" si="6"/>
        <v>177658.11020060111</v>
      </c>
      <c r="N36" s="32">
        <f t="shared" ca="1" si="6"/>
        <v>179248.69835626072</v>
      </c>
      <c r="O36" s="32">
        <f t="shared" ca="1" si="6"/>
        <v>185018.9430950447</v>
      </c>
    </row>
    <row r="37" spans="1:15" ht="15" customHeight="1" x14ac:dyDescent="0.2">
      <c r="C37" s="129"/>
      <c r="D37" s="129"/>
    </row>
    <row r="38" spans="1:15" ht="15" customHeight="1" x14ac:dyDescent="0.2">
      <c r="A38" s="37" t="s">
        <v>146</v>
      </c>
      <c r="C38" s="17" t="str">
        <f t="shared" ref="C38:O38" si="7">IF((C19-C36)^2&lt;0.0001,"OK",C19-C36)</f>
        <v>OK</v>
      </c>
      <c r="D38" s="17" t="str">
        <f t="shared" si="7"/>
        <v>OK</v>
      </c>
      <c r="E38" s="17" t="str">
        <f t="shared" si="7"/>
        <v>OK</v>
      </c>
      <c r="F38" s="17" t="str">
        <f t="shared" ca="1" si="7"/>
        <v>OK</v>
      </c>
      <c r="G38" s="17" t="str">
        <f t="shared" ca="1" si="7"/>
        <v>OK</v>
      </c>
      <c r="H38" s="17" t="str">
        <f t="shared" ca="1" si="7"/>
        <v>OK</v>
      </c>
      <c r="I38" s="17" t="str">
        <f t="shared" ca="1" si="7"/>
        <v>OK</v>
      </c>
      <c r="J38" s="17" t="str">
        <f t="shared" ca="1" si="7"/>
        <v>OK</v>
      </c>
      <c r="K38" s="17" t="str">
        <f t="shared" ca="1" si="7"/>
        <v>OK</v>
      </c>
      <c r="L38" s="17" t="str">
        <f t="shared" ca="1" si="7"/>
        <v>OK</v>
      </c>
      <c r="M38" s="17" t="str">
        <f t="shared" ca="1" si="7"/>
        <v>OK</v>
      </c>
      <c r="N38" s="17" t="str">
        <f t="shared" ca="1" si="7"/>
        <v>OK</v>
      </c>
      <c r="O38" s="17" t="str">
        <f t="shared" ca="1" si="7"/>
        <v>OK</v>
      </c>
    </row>
    <row r="39" spans="1:15" ht="15" customHeight="1" x14ac:dyDescent="0.2">
      <c r="F39" s="129"/>
      <c r="G39" s="129"/>
      <c r="H39" s="129"/>
      <c r="I39" s="129"/>
      <c r="J39" s="129"/>
      <c r="K39" s="129"/>
    </row>
    <row r="40" spans="1:15" ht="15" customHeight="1" x14ac:dyDescent="0.2">
      <c r="F40" s="151"/>
      <c r="G40" s="151"/>
      <c r="H40" s="151"/>
      <c r="I40" s="151"/>
      <c r="J40" s="151"/>
      <c r="K40" s="151"/>
      <c r="L40" s="151"/>
      <c r="M40" s="151"/>
      <c r="N40" s="151"/>
      <c r="O40" s="151"/>
    </row>
  </sheetData>
  <phoneticPr fontId="2" type="noConversion"/>
  <printOptions horizontalCentered="1" verticalCentered="1" headings="1"/>
  <pageMargins left="0.74803149606299213" right="0.74803149606299213" top="0.98425196850393704" bottom="0.98425196850393704" header="0.51181102362204722" footer="0.51181102362204722"/>
  <pageSetup paperSize="9" scale="67" orientation="landscape" blackAndWhite="1" verticalDpi="300" r:id="rId1"/>
  <headerFooter alignWithMargins="0">
    <oddHeader>&amp;L&amp;"宋体,常规"诚迅金融培训&amp;Rwww.chainshine.com</oddHeader>
    <oddFooter>第 &amp;P 页，共 &amp;N 页</oddFooter>
  </headerFooter>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O67"/>
  <sheetViews>
    <sheetView workbookViewId="0">
      <pane xSplit="2" ySplit="5" topLeftCell="C6" activePane="bottomRight" state="frozen"/>
      <selection activeCell="A6" sqref="A6"/>
      <selection pane="topRight" activeCell="A6" sqref="A6"/>
      <selection pane="bottomLeft" activeCell="A6" sqref="A6"/>
      <selection pane="bottomRight" activeCell="C6" sqref="C6"/>
    </sheetView>
  </sheetViews>
  <sheetFormatPr defaultColWidth="0" defaultRowHeight="15" customHeight="1" x14ac:dyDescent="0.2"/>
  <cols>
    <col min="1" max="1" width="1.7109375" style="121" customWidth="1"/>
    <col min="2" max="2" width="27.7109375" style="121" customWidth="1"/>
    <col min="3" max="15" width="10.7109375" style="121" customWidth="1"/>
    <col min="16" max="16" width="1.7109375" style="121" customWidth="1"/>
    <col min="17" max="16384" width="0" style="121" hidden="1"/>
  </cols>
  <sheetData>
    <row r="1" spans="1:15" ht="24" customHeight="1" x14ac:dyDescent="0.3">
      <c r="A1" s="110" t="s">
        <v>77</v>
      </c>
      <c r="B1" s="120"/>
      <c r="C1" s="111"/>
      <c r="D1" s="111"/>
      <c r="E1" s="111"/>
      <c r="F1" s="111"/>
      <c r="G1" s="111"/>
      <c r="H1" s="111"/>
      <c r="I1" s="111"/>
      <c r="J1" s="111"/>
      <c r="K1" s="111"/>
      <c r="L1" s="111"/>
      <c r="M1" s="111"/>
      <c r="N1" s="111"/>
      <c r="O1" s="111"/>
    </row>
    <row r="2" spans="1:15" ht="2.1" customHeight="1" x14ac:dyDescent="0.2">
      <c r="A2" s="26"/>
      <c r="B2" s="147"/>
      <c r="C2" s="112"/>
      <c r="D2" s="112"/>
      <c r="E2" s="112"/>
      <c r="F2" s="112"/>
      <c r="G2" s="112"/>
      <c r="H2" s="112"/>
      <c r="I2" s="112"/>
      <c r="J2" s="112"/>
      <c r="K2" s="112"/>
      <c r="L2" s="112"/>
      <c r="M2" s="112"/>
      <c r="N2" s="112"/>
      <c r="O2" s="112"/>
    </row>
    <row r="3" spans="1:15" ht="18" customHeight="1" x14ac:dyDescent="0.25">
      <c r="A3" s="210" t="s">
        <v>81</v>
      </c>
      <c r="B3" s="172"/>
      <c r="C3" s="172"/>
      <c r="D3" s="173"/>
      <c r="E3" s="173"/>
      <c r="F3" s="173"/>
      <c r="G3" s="173"/>
      <c r="H3" s="173"/>
      <c r="I3" s="173"/>
      <c r="J3" s="173"/>
      <c r="K3" s="173"/>
      <c r="L3" s="173"/>
      <c r="M3" s="173"/>
      <c r="N3" s="173"/>
      <c r="O3" s="173"/>
    </row>
    <row r="4" spans="1:15" ht="2.1" customHeight="1" x14ac:dyDescent="0.2">
      <c r="A4" s="174"/>
      <c r="B4" s="175"/>
      <c r="C4" s="175"/>
      <c r="D4" s="176"/>
      <c r="E4" s="176"/>
      <c r="F4" s="176"/>
      <c r="G4" s="176"/>
      <c r="H4" s="176"/>
      <c r="I4" s="176"/>
      <c r="J4" s="176"/>
      <c r="K4" s="176"/>
      <c r="L4" s="176"/>
      <c r="M4" s="108" t="s">
        <v>93</v>
      </c>
      <c r="N4" s="108" t="s">
        <v>93</v>
      </c>
      <c r="O4" s="108" t="s">
        <v>93</v>
      </c>
    </row>
    <row r="5" spans="1:15" ht="15" customHeight="1" x14ac:dyDescent="0.2">
      <c r="A5" s="113" t="s">
        <v>94</v>
      </c>
      <c r="C5" s="114">
        <v>39082</v>
      </c>
      <c r="D5" s="114">
        <v>39447</v>
      </c>
      <c r="E5" s="114">
        <v>39813</v>
      </c>
      <c r="F5" s="115">
        <v>40178</v>
      </c>
      <c r="G5" s="115">
        <v>40543</v>
      </c>
      <c r="H5" s="115">
        <v>40908</v>
      </c>
      <c r="I5" s="115">
        <v>41274</v>
      </c>
      <c r="J5" s="115">
        <v>41639</v>
      </c>
      <c r="K5" s="115">
        <v>42004</v>
      </c>
      <c r="L5" s="115">
        <v>42369</v>
      </c>
      <c r="M5" s="115">
        <v>42735</v>
      </c>
      <c r="N5" s="115">
        <v>43100</v>
      </c>
      <c r="O5" s="115">
        <v>43465</v>
      </c>
    </row>
    <row r="6" spans="1:15" ht="15" customHeight="1" x14ac:dyDescent="0.2">
      <c r="A6" s="29"/>
      <c r="B6" s="141"/>
      <c r="C6" s="159"/>
      <c r="D6" s="159"/>
      <c r="E6" s="159"/>
      <c r="F6" s="159"/>
      <c r="G6" s="159"/>
      <c r="H6" s="159"/>
      <c r="I6" s="159"/>
      <c r="J6" s="159"/>
      <c r="K6" s="159"/>
      <c r="L6" s="159"/>
      <c r="M6" s="159"/>
      <c r="N6" s="159"/>
      <c r="O6" s="159"/>
    </row>
    <row r="7" spans="1:15" ht="15" customHeight="1" x14ac:dyDescent="0.2">
      <c r="A7" s="5" t="s">
        <v>106</v>
      </c>
      <c r="D7" s="8"/>
      <c r="E7" s="8"/>
      <c r="F7" s="43"/>
      <c r="G7" s="43"/>
      <c r="H7" s="43"/>
      <c r="I7" s="43"/>
      <c r="J7" s="43"/>
      <c r="K7" s="43"/>
      <c r="L7" s="43"/>
      <c r="M7" s="43"/>
      <c r="N7" s="43"/>
      <c r="O7" s="43"/>
    </row>
    <row r="8" spans="1:15" s="147" customFormat="1" ht="15" customHeight="1" x14ac:dyDescent="0.2">
      <c r="B8" s="10" t="s">
        <v>282</v>
      </c>
      <c r="F8" s="46">
        <v>0.03</v>
      </c>
      <c r="G8" s="46">
        <v>0.03</v>
      </c>
      <c r="H8" s="46">
        <v>0.03</v>
      </c>
      <c r="I8" s="46">
        <v>0.03</v>
      </c>
      <c r="J8" s="46">
        <v>0.03</v>
      </c>
      <c r="K8" s="46">
        <v>0.03</v>
      </c>
      <c r="L8" s="46">
        <v>0.03</v>
      </c>
      <c r="M8" s="46">
        <v>0.03</v>
      </c>
      <c r="N8" s="46">
        <v>0.03</v>
      </c>
      <c r="O8" s="46">
        <v>0.03</v>
      </c>
    </row>
    <row r="10" spans="1:15" ht="15" customHeight="1" x14ac:dyDescent="0.2">
      <c r="A10" s="19" t="s">
        <v>107</v>
      </c>
      <c r="B10" s="87"/>
      <c r="C10" s="123"/>
      <c r="D10" s="123"/>
      <c r="E10" s="123"/>
    </row>
    <row r="11" spans="1:15" ht="15" customHeight="1" x14ac:dyDescent="0.2">
      <c r="A11" s="7"/>
      <c r="B11" s="1" t="s">
        <v>97</v>
      </c>
      <c r="C11" s="123"/>
      <c r="D11" s="123"/>
      <c r="E11" s="123"/>
      <c r="F11" s="123">
        <f ca="1">IS!F49</f>
        <v>5231.537756751326</v>
      </c>
      <c r="G11" s="123">
        <f ca="1">IS!G49</f>
        <v>7282.7687026828662</v>
      </c>
      <c r="H11" s="123">
        <f ca="1">IS!H49</f>
        <v>7891.4939763744205</v>
      </c>
      <c r="I11" s="123">
        <f ca="1">IS!I49</f>
        <v>8380.9969785193498</v>
      </c>
      <c r="J11" s="123">
        <f ca="1">IS!J49</f>
        <v>8840.1245477426492</v>
      </c>
      <c r="K11" s="123">
        <f ca="1">IS!K49</f>
        <v>9296.5077953396722</v>
      </c>
      <c r="L11" s="123">
        <f ca="1">IS!L49</f>
        <v>9750.3133195765713</v>
      </c>
      <c r="M11" s="123">
        <f ca="1">IS!M49</f>
        <v>10254.154637682586</v>
      </c>
      <c r="N11" s="123">
        <f ca="1">IS!N49</f>
        <v>10810.139030838591</v>
      </c>
      <c r="O11" s="123">
        <f ca="1">IS!O49</f>
        <v>11323.181165064048</v>
      </c>
    </row>
    <row r="12" spans="1:15" ht="15" customHeight="1" x14ac:dyDescent="0.2">
      <c r="A12" s="7"/>
      <c r="B12" s="1" t="s">
        <v>108</v>
      </c>
      <c r="C12" s="123"/>
      <c r="D12" s="123"/>
      <c r="E12" s="123"/>
      <c r="F12" s="123">
        <f>IS!F37</f>
        <v>4052.8351439127186</v>
      </c>
      <c r="G12" s="123">
        <f>IS!G37</f>
        <v>6137.7739299730447</v>
      </c>
      <c r="H12" s="123">
        <f>IS!H37</f>
        <v>6083.4562939609123</v>
      </c>
      <c r="I12" s="123">
        <f>IS!I37</f>
        <v>6031.9482487845671</v>
      </c>
      <c r="J12" s="123">
        <f>IS!J37</f>
        <v>5982.9727967627277</v>
      </c>
      <c r="K12" s="123">
        <f>IS!K37</f>
        <v>5936.2607358762079</v>
      </c>
      <c r="L12" s="123">
        <f>IS!L37</f>
        <v>5891.5497223778948</v>
      </c>
      <c r="M12" s="123">
        <f>IS!M37</f>
        <v>5848.5833890329523</v>
      </c>
      <c r="N12" s="123">
        <f>IS!N37</f>
        <v>5807.1105146251984</v>
      </c>
      <c r="O12" s="123">
        <f>IS!O37</f>
        <v>5766.8842407551447</v>
      </c>
    </row>
    <row r="13" spans="1:15" ht="15" customHeight="1" x14ac:dyDescent="0.2">
      <c r="A13" s="7"/>
      <c r="B13" s="1" t="s">
        <v>109</v>
      </c>
      <c r="C13" s="123"/>
      <c r="D13" s="123"/>
      <c r="E13" s="123"/>
      <c r="F13" s="123">
        <f>IS!F38</f>
        <v>12</v>
      </c>
      <c r="G13" s="123">
        <f>IS!G38</f>
        <v>12</v>
      </c>
      <c r="H13" s="123">
        <f>IS!H38</f>
        <v>12</v>
      </c>
      <c r="I13" s="123">
        <f>IS!I38</f>
        <v>12</v>
      </c>
      <c r="J13" s="123">
        <f>IS!J38</f>
        <v>12</v>
      </c>
      <c r="K13" s="123">
        <f>IS!K38</f>
        <v>12</v>
      </c>
      <c r="L13" s="123">
        <f>IS!L38</f>
        <v>12</v>
      </c>
      <c r="M13" s="123">
        <f>IS!M38</f>
        <v>12</v>
      </c>
      <c r="N13" s="123">
        <f>IS!N38</f>
        <v>12</v>
      </c>
      <c r="O13" s="123">
        <f>IS!O38</f>
        <v>12</v>
      </c>
    </row>
    <row r="14" spans="1:15" ht="15" customHeight="1" x14ac:dyDescent="0.2">
      <c r="A14" s="7"/>
      <c r="B14" s="1" t="s">
        <v>110</v>
      </c>
      <c r="C14" s="123"/>
      <c r="D14" s="123"/>
      <c r="E14" s="123"/>
      <c r="F14" s="123">
        <f ca="1">IS!F41</f>
        <v>2842.6858190980488</v>
      </c>
      <c r="G14" s="123">
        <f ca="1">IS!G41</f>
        <v>4673.2991483689111</v>
      </c>
      <c r="H14" s="123">
        <f ca="1">IS!H41</f>
        <v>4371.5732659855412</v>
      </c>
      <c r="I14" s="123">
        <f ca="1">IS!I41</f>
        <v>4223.7341080272045</v>
      </c>
      <c r="J14" s="123">
        <f ca="1">IS!J41</f>
        <v>4111.4148835977594</v>
      </c>
      <c r="K14" s="123">
        <f ca="1">IS!K41</f>
        <v>3997.8474689456134</v>
      </c>
      <c r="L14" s="123">
        <f ca="1">IS!L41</f>
        <v>3882.8605652292076</v>
      </c>
      <c r="M14" s="123">
        <f ca="1">IS!M41</f>
        <v>3711.4655802872398</v>
      </c>
      <c r="N14" s="123">
        <f ca="1">IS!N41</f>
        <v>3465.7224906008228</v>
      </c>
      <c r="O14" s="123">
        <f ca="1">IS!O41</f>
        <v>3272.3921562175856</v>
      </c>
    </row>
    <row r="15" spans="1:15" ht="15" customHeight="1" x14ac:dyDescent="0.2">
      <c r="A15" s="7"/>
      <c r="B15" s="1" t="s">
        <v>111</v>
      </c>
      <c r="C15" s="123"/>
      <c r="D15" s="123"/>
      <c r="E15" s="123"/>
      <c r="F15" s="123">
        <f>-IS!F43</f>
        <v>0</v>
      </c>
      <c r="G15" s="123">
        <f>-IS!G43</f>
        <v>0</v>
      </c>
      <c r="H15" s="123">
        <f>-IS!H43</f>
        <v>0</v>
      </c>
      <c r="I15" s="123">
        <f>-IS!I43</f>
        <v>0</v>
      </c>
      <c r="J15" s="123">
        <f>-IS!J43</f>
        <v>0</v>
      </c>
      <c r="K15" s="123">
        <f>-IS!K43</f>
        <v>0</v>
      </c>
      <c r="L15" s="123">
        <f>-IS!L43</f>
        <v>0</v>
      </c>
      <c r="M15" s="123">
        <f>-IS!M43</f>
        <v>0</v>
      </c>
      <c r="N15" s="123">
        <f>-IS!N43</f>
        <v>0</v>
      </c>
      <c r="O15" s="123">
        <f>-IS!O43</f>
        <v>0</v>
      </c>
    </row>
    <row r="16" spans="1:15" ht="15" customHeight="1" x14ac:dyDescent="0.2">
      <c r="A16" s="7"/>
      <c r="B16" s="1" t="s">
        <v>112</v>
      </c>
      <c r="C16" s="123"/>
      <c r="D16" s="123"/>
      <c r="E16" s="123"/>
      <c r="F16" s="123">
        <f>-IS!F44</f>
        <v>0</v>
      </c>
      <c r="G16" s="123">
        <f>-IS!G44</f>
        <v>0</v>
      </c>
      <c r="H16" s="123">
        <f>-IS!H44</f>
        <v>0</v>
      </c>
      <c r="I16" s="123">
        <f>-IS!I44</f>
        <v>0</v>
      </c>
      <c r="J16" s="123">
        <f>-IS!J44</f>
        <v>0</v>
      </c>
      <c r="K16" s="123">
        <f>-IS!K44</f>
        <v>0</v>
      </c>
      <c r="L16" s="123">
        <f>-IS!L44</f>
        <v>0</v>
      </c>
      <c r="M16" s="123">
        <f>-IS!M44</f>
        <v>0</v>
      </c>
      <c r="N16" s="123">
        <f>-IS!N44</f>
        <v>0</v>
      </c>
      <c r="O16" s="123">
        <f>-IS!O44</f>
        <v>0</v>
      </c>
    </row>
    <row r="17" spans="1:15" ht="15" customHeight="1" x14ac:dyDescent="0.2">
      <c r="A17" s="7"/>
      <c r="B17" s="245" t="s">
        <v>287</v>
      </c>
      <c r="C17" s="123"/>
      <c r="D17" s="123"/>
      <c r="E17" s="123"/>
      <c r="F17" s="123">
        <f>Cals!E34-Cals!F34</f>
        <v>-461.16770455240066</v>
      </c>
      <c r="G17" s="123">
        <f>Cals!F34-Cals!G34</f>
        <v>-99.85059136037944</v>
      </c>
      <c r="H17" s="123">
        <f>Cals!G34-Cals!H34</f>
        <v>-11.626226259899795</v>
      </c>
      <c r="I17" s="123">
        <f>Cals!H34-Cals!I34</f>
        <v>-11.62622625990025</v>
      </c>
      <c r="J17" s="123">
        <f>Cals!I34-Cals!J34</f>
        <v>-11.62622625990025</v>
      </c>
      <c r="K17" s="123">
        <f>Cals!J34-Cals!K34</f>
        <v>-11.626226259899795</v>
      </c>
      <c r="L17" s="123">
        <f>Cals!K34-Cals!L34</f>
        <v>-11.626226259899795</v>
      </c>
      <c r="M17" s="123">
        <f>Cals!L34-Cals!M34</f>
        <v>-11.989838966280786</v>
      </c>
      <c r="N17" s="123">
        <f>Cals!M34-Cals!N34</f>
        <v>-11.989838966279422</v>
      </c>
      <c r="O17" s="123">
        <f>Cals!N34-Cals!O34</f>
        <v>-11.989838966279876</v>
      </c>
    </row>
    <row r="18" spans="1:15" ht="15" customHeight="1" x14ac:dyDescent="0.2">
      <c r="A18" s="7"/>
      <c r="B18" s="19" t="s">
        <v>113</v>
      </c>
      <c r="C18" s="12"/>
      <c r="D18" s="12"/>
      <c r="E18" s="12"/>
      <c r="F18" s="12">
        <f t="shared" ref="F18:O18" ca="1" si="0">SUM(F11:F17)</f>
        <v>11677.891015209692</v>
      </c>
      <c r="G18" s="12">
        <f t="shared" ca="1" si="0"/>
        <v>18005.991189664441</v>
      </c>
      <c r="H18" s="12">
        <f t="shared" ca="1" si="0"/>
        <v>18346.897310060973</v>
      </c>
      <c r="I18" s="12">
        <f t="shared" ca="1" si="0"/>
        <v>18637.053109071221</v>
      </c>
      <c r="J18" s="12">
        <f t="shared" ca="1" si="0"/>
        <v>18934.886001843235</v>
      </c>
      <c r="K18" s="12">
        <f t="shared" ca="1" si="0"/>
        <v>19230.989773901591</v>
      </c>
      <c r="L18" s="12">
        <f t="shared" ca="1" si="0"/>
        <v>19525.097380923773</v>
      </c>
      <c r="M18" s="12">
        <f t="shared" ca="1" si="0"/>
        <v>19814.213768036498</v>
      </c>
      <c r="N18" s="12">
        <f t="shared" ca="1" si="0"/>
        <v>20082.982197098332</v>
      </c>
      <c r="O18" s="12">
        <f t="shared" ca="1" si="0"/>
        <v>20362.467723070498</v>
      </c>
    </row>
    <row r="19" spans="1:15" ht="15" customHeight="1" x14ac:dyDescent="0.2">
      <c r="A19" s="7"/>
      <c r="B19" s="144"/>
      <c r="C19" s="123"/>
      <c r="D19" s="123"/>
      <c r="E19" s="123"/>
      <c r="F19" s="123"/>
      <c r="G19" s="123"/>
      <c r="H19" s="123"/>
      <c r="I19" s="123"/>
      <c r="J19" s="123"/>
      <c r="K19" s="123"/>
      <c r="L19" s="123"/>
      <c r="M19" s="123"/>
      <c r="N19" s="123"/>
      <c r="O19" s="123"/>
    </row>
    <row r="20" spans="1:15" ht="15" customHeight="1" x14ac:dyDescent="0.2">
      <c r="A20" s="19" t="s">
        <v>114</v>
      </c>
      <c r="B20" s="87"/>
      <c r="C20" s="123"/>
      <c r="D20" s="123"/>
      <c r="E20" s="123"/>
      <c r="F20" s="129"/>
      <c r="G20" s="129"/>
      <c r="H20" s="129"/>
      <c r="I20" s="129"/>
      <c r="J20" s="129"/>
      <c r="K20" s="129"/>
      <c r="L20" s="129"/>
      <c r="M20" s="129"/>
      <c r="N20" s="129"/>
      <c r="O20" s="129"/>
    </row>
    <row r="21" spans="1:15" ht="15" customHeight="1" x14ac:dyDescent="0.2">
      <c r="A21" s="7"/>
      <c r="B21" s="1" t="s">
        <v>115</v>
      </c>
      <c r="C21" s="123"/>
      <c r="D21" s="123"/>
      <c r="E21" s="123"/>
      <c r="F21" s="123">
        <f t="shared" ref="F21:O21" si="1">-F15</f>
        <v>0</v>
      </c>
      <c r="G21" s="123">
        <f t="shared" si="1"/>
        <v>0</v>
      </c>
      <c r="H21" s="123">
        <f t="shared" si="1"/>
        <v>0</v>
      </c>
      <c r="I21" s="123">
        <f t="shared" si="1"/>
        <v>0</v>
      </c>
      <c r="J21" s="123">
        <f t="shared" si="1"/>
        <v>0</v>
      </c>
      <c r="K21" s="123">
        <f t="shared" si="1"/>
        <v>0</v>
      </c>
      <c r="L21" s="123">
        <f t="shared" si="1"/>
        <v>0</v>
      </c>
      <c r="M21" s="123">
        <f t="shared" si="1"/>
        <v>0</v>
      </c>
      <c r="N21" s="123">
        <f t="shared" si="1"/>
        <v>0</v>
      </c>
      <c r="O21" s="123">
        <f t="shared" si="1"/>
        <v>0</v>
      </c>
    </row>
    <row r="22" spans="1:15" ht="15" customHeight="1" x14ac:dyDescent="0.2">
      <c r="A22" s="7"/>
      <c r="B22" s="1" t="s">
        <v>116</v>
      </c>
      <c r="C22" s="123"/>
      <c r="D22" s="123"/>
      <c r="E22" s="123"/>
      <c r="F22" s="123">
        <f t="shared" ref="F22:O22" si="2">-F16</f>
        <v>0</v>
      </c>
      <c r="G22" s="123">
        <f t="shared" si="2"/>
        <v>0</v>
      </c>
      <c r="H22" s="123">
        <f t="shared" si="2"/>
        <v>0</v>
      </c>
      <c r="I22" s="123">
        <f t="shared" si="2"/>
        <v>0</v>
      </c>
      <c r="J22" s="123">
        <f t="shared" si="2"/>
        <v>0</v>
      </c>
      <c r="K22" s="123">
        <f t="shared" si="2"/>
        <v>0</v>
      </c>
      <c r="L22" s="123">
        <f t="shared" si="2"/>
        <v>0</v>
      </c>
      <c r="M22" s="123">
        <f t="shared" si="2"/>
        <v>0</v>
      </c>
      <c r="N22" s="123">
        <f t="shared" si="2"/>
        <v>0</v>
      </c>
      <c r="O22" s="123">
        <f t="shared" si="2"/>
        <v>0</v>
      </c>
    </row>
    <row r="23" spans="1:15" ht="15" customHeight="1" x14ac:dyDescent="0.2">
      <c r="A23" s="7"/>
      <c r="B23" s="1" t="s">
        <v>252</v>
      </c>
      <c r="C23" s="123"/>
      <c r="D23" s="123"/>
      <c r="E23" s="123"/>
      <c r="F23" s="123">
        <f>BS!E16-BS!F16</f>
        <v>0</v>
      </c>
      <c r="G23" s="123">
        <f>BS!F16-BS!G16</f>
        <v>0</v>
      </c>
      <c r="H23" s="123">
        <f>BS!G16-BS!H16</f>
        <v>0</v>
      </c>
      <c r="I23" s="123">
        <f>BS!H16-BS!I16</f>
        <v>0</v>
      </c>
      <c r="J23" s="123">
        <f>BS!I16-BS!J16</f>
        <v>0</v>
      </c>
      <c r="K23" s="123">
        <f>BS!J16-BS!K16</f>
        <v>0</v>
      </c>
      <c r="L23" s="123">
        <f>BS!K16-BS!L16</f>
        <v>0</v>
      </c>
      <c r="M23" s="123">
        <f>BS!L16-BS!M16</f>
        <v>0</v>
      </c>
      <c r="N23" s="123">
        <f>BS!M16-BS!N16</f>
        <v>0</v>
      </c>
      <c r="O23" s="123">
        <f>BS!N16-BS!O16</f>
        <v>0</v>
      </c>
    </row>
    <row r="24" spans="1:15" ht="15" customHeight="1" x14ac:dyDescent="0.2">
      <c r="A24" s="7"/>
      <c r="B24" s="1" t="s">
        <v>117</v>
      </c>
      <c r="C24" s="123"/>
      <c r="D24" s="123"/>
      <c r="E24" s="123"/>
      <c r="F24" s="123">
        <f>-'PP&amp;E'!F37</f>
        <v>-107641.75719563593</v>
      </c>
      <c r="G24" s="123">
        <f>-'PP&amp;E'!G37</f>
        <v>-605.18210738035339</v>
      </c>
      <c r="H24" s="123">
        <f>-'PP&amp;E'!H37</f>
        <v>-678.93609201304139</v>
      </c>
      <c r="I24" s="123">
        <f>-'PP&amp;E'!I37</f>
        <v>-745.66164916971059</v>
      </c>
      <c r="J24" s="123">
        <f>-'PP&amp;E'!J37</f>
        <v>-805.56574973835086</v>
      </c>
      <c r="K24" s="123">
        <f>-'PP&amp;E'!K37</f>
        <v>-858.83120593566377</v>
      </c>
      <c r="L24" s="123">
        <f>-'PP&amp;E'!L37</f>
        <v>-905.61811914868804</v>
      </c>
      <c r="M24" s="123">
        <f>-'PP&amp;E'!M37</f>
        <v>-946.06521360417048</v>
      </c>
      <c r="N24" s="123">
        <f>-'PP&amp;E'!N37</f>
        <v>-980.29106600811633</v>
      </c>
      <c r="O24" s="123">
        <f>-'PP&amp;E'!O37</f>
        <v>-1008.3952404892162</v>
      </c>
    </row>
    <row r="25" spans="1:15" ht="15" customHeight="1" x14ac:dyDescent="0.2">
      <c r="A25" s="7"/>
      <c r="B25" s="1" t="s">
        <v>118</v>
      </c>
      <c r="D25" s="123"/>
      <c r="E25" s="123"/>
      <c r="F25" s="123">
        <f>-Cals!F18</f>
        <v>-12</v>
      </c>
      <c r="G25" s="123">
        <f>-Cals!G18</f>
        <v>-12</v>
      </c>
      <c r="H25" s="123">
        <f>-Cals!H18</f>
        <v>-12</v>
      </c>
      <c r="I25" s="123">
        <f>-Cals!I18</f>
        <v>-12</v>
      </c>
      <c r="J25" s="123">
        <f>-Cals!J18</f>
        <v>-12</v>
      </c>
      <c r="K25" s="123">
        <f>-Cals!K18</f>
        <v>-12</v>
      </c>
      <c r="L25" s="123">
        <f>-Cals!L18</f>
        <v>-12</v>
      </c>
      <c r="M25" s="123">
        <f>-Cals!M18</f>
        <v>-12</v>
      </c>
      <c r="N25" s="123">
        <f>-Cals!N18</f>
        <v>-12</v>
      </c>
      <c r="O25" s="123">
        <f>-Cals!O18</f>
        <v>-12</v>
      </c>
    </row>
    <row r="26" spans="1:15" ht="15" customHeight="1" x14ac:dyDescent="0.2">
      <c r="A26" s="7"/>
      <c r="B26" s="19" t="s">
        <v>119</v>
      </c>
      <c r="C26" s="12"/>
      <c r="D26" s="12"/>
      <c r="E26" s="12"/>
      <c r="F26" s="12">
        <f t="shared" ref="F26:O26" si="3">SUM(F21:F25)</f>
        <v>-107653.75719563593</v>
      </c>
      <c r="G26" s="12">
        <f t="shared" si="3"/>
        <v>-617.18210738035339</v>
      </c>
      <c r="H26" s="12">
        <f t="shared" si="3"/>
        <v>-690.93609201304139</v>
      </c>
      <c r="I26" s="12">
        <f t="shared" si="3"/>
        <v>-757.66164916971059</v>
      </c>
      <c r="J26" s="12">
        <f t="shared" si="3"/>
        <v>-817.56574973835086</v>
      </c>
      <c r="K26" s="12">
        <f t="shared" si="3"/>
        <v>-870.83120593566377</v>
      </c>
      <c r="L26" s="12">
        <f t="shared" si="3"/>
        <v>-917.61811914868804</v>
      </c>
      <c r="M26" s="12">
        <f t="shared" si="3"/>
        <v>-958.06521360417048</v>
      </c>
      <c r="N26" s="12">
        <f t="shared" si="3"/>
        <v>-992.29106600811633</v>
      </c>
      <c r="O26" s="12">
        <f t="shared" si="3"/>
        <v>-1020.3952404892162</v>
      </c>
    </row>
    <row r="27" spans="1:15" ht="15" customHeight="1" x14ac:dyDescent="0.2">
      <c r="A27" s="7"/>
      <c r="B27" s="144"/>
      <c r="C27" s="123"/>
      <c r="D27" s="123"/>
      <c r="E27" s="123"/>
      <c r="F27" s="123"/>
      <c r="G27" s="123"/>
      <c r="H27" s="123"/>
      <c r="I27" s="123"/>
      <c r="J27" s="123"/>
      <c r="K27" s="123"/>
      <c r="L27" s="123"/>
      <c r="M27" s="123"/>
      <c r="N27" s="123"/>
      <c r="O27" s="123"/>
    </row>
    <row r="28" spans="1:15" ht="15" customHeight="1" x14ac:dyDescent="0.2">
      <c r="A28" s="19" t="s">
        <v>120</v>
      </c>
      <c r="B28" s="87"/>
      <c r="C28" s="123"/>
      <c r="D28" s="123"/>
      <c r="E28" s="123"/>
      <c r="F28" s="129"/>
      <c r="G28" s="129"/>
      <c r="H28" s="129"/>
      <c r="I28" s="129"/>
      <c r="J28" s="129"/>
      <c r="K28" s="129"/>
      <c r="L28" s="129"/>
      <c r="M28" s="129"/>
      <c r="N28" s="129"/>
      <c r="O28" s="129"/>
    </row>
    <row r="29" spans="1:15" ht="15" customHeight="1" x14ac:dyDescent="0.2">
      <c r="A29" s="153"/>
      <c r="B29" s="18" t="s">
        <v>121</v>
      </c>
      <c r="C29" s="123"/>
      <c r="D29" s="123"/>
      <c r="E29" s="123"/>
      <c r="F29" s="129">
        <f>-BS!E22</f>
        <v>0</v>
      </c>
      <c r="G29" s="129">
        <f ca="1">-BS!F22</f>
        <v>0</v>
      </c>
      <c r="H29" s="129">
        <f ca="1">-BS!G22</f>
        <v>0</v>
      </c>
      <c r="I29" s="129">
        <f ca="1">-BS!H22</f>
        <v>0</v>
      </c>
      <c r="J29" s="129">
        <f ca="1">-BS!I22</f>
        <v>0</v>
      </c>
      <c r="K29" s="129">
        <f ca="1">-BS!J22</f>
        <v>0</v>
      </c>
      <c r="L29" s="129">
        <f ca="1">-BS!K22</f>
        <v>0</v>
      </c>
      <c r="M29" s="129">
        <f ca="1">-BS!L22</f>
        <v>0</v>
      </c>
      <c r="N29" s="129">
        <f ca="1">-BS!M22</f>
        <v>0</v>
      </c>
      <c r="O29" s="129">
        <f ca="1">-BS!N22</f>
        <v>0</v>
      </c>
    </row>
    <row r="30" spans="1:15" ht="15" customHeight="1" x14ac:dyDescent="0.2">
      <c r="A30" s="153"/>
      <c r="B30" s="18" t="s">
        <v>122</v>
      </c>
      <c r="C30" s="123"/>
      <c r="D30" s="123"/>
      <c r="E30" s="123"/>
      <c r="F30" s="129">
        <f t="shared" ref="F30:O30" ca="1" si="4">-F14</f>
        <v>-2842.6858190980488</v>
      </c>
      <c r="G30" s="129">
        <f t="shared" ca="1" si="4"/>
        <v>-4673.2991483689111</v>
      </c>
      <c r="H30" s="129">
        <f t="shared" ca="1" si="4"/>
        <v>-4371.5732659855412</v>
      </c>
      <c r="I30" s="129">
        <f t="shared" ca="1" si="4"/>
        <v>-4223.7341080272045</v>
      </c>
      <c r="J30" s="129">
        <f t="shared" ca="1" si="4"/>
        <v>-4111.4148835977594</v>
      </c>
      <c r="K30" s="129">
        <f t="shared" ca="1" si="4"/>
        <v>-3997.8474689456134</v>
      </c>
      <c r="L30" s="129">
        <f t="shared" ca="1" si="4"/>
        <v>-3882.8605652292076</v>
      </c>
      <c r="M30" s="129">
        <f t="shared" ca="1" si="4"/>
        <v>-3711.4655802872398</v>
      </c>
      <c r="N30" s="129">
        <f t="shared" ca="1" si="4"/>
        <v>-3465.7224906008228</v>
      </c>
      <c r="O30" s="129">
        <f t="shared" ca="1" si="4"/>
        <v>-3272.3921562175856</v>
      </c>
    </row>
    <row r="31" spans="1:15" ht="15" customHeight="1" x14ac:dyDescent="0.2">
      <c r="A31" s="7"/>
      <c r="B31" s="1" t="s">
        <v>123</v>
      </c>
      <c r="C31" s="123"/>
      <c r="D31" s="123"/>
      <c r="E31" s="123"/>
      <c r="F31" s="123">
        <f>BS!F23-BS!E23</f>
        <v>17500</v>
      </c>
      <c r="G31" s="123">
        <f>BS!G23-BS!F23</f>
        <v>-17500</v>
      </c>
      <c r="H31" s="123">
        <f>BS!H23-BS!G23</f>
        <v>0</v>
      </c>
      <c r="I31" s="123">
        <f>BS!I23-BS!H23</f>
        <v>0</v>
      </c>
      <c r="J31" s="123">
        <f>BS!J23-BS!I23</f>
        <v>0</v>
      </c>
      <c r="K31" s="123">
        <f>BS!K23-BS!J23</f>
        <v>0</v>
      </c>
      <c r="L31" s="123">
        <f>BS!L23-BS!K23</f>
        <v>0</v>
      </c>
      <c r="M31" s="123">
        <f>BS!M23-BS!L23</f>
        <v>0</v>
      </c>
      <c r="N31" s="123">
        <f>BS!N23-BS!M23</f>
        <v>0</v>
      </c>
      <c r="O31" s="123">
        <f>BS!O23-BS!N23</f>
        <v>0</v>
      </c>
    </row>
    <row r="32" spans="1:15" ht="15" customHeight="1" x14ac:dyDescent="0.2">
      <c r="A32" s="7"/>
      <c r="B32" s="1" t="s">
        <v>124</v>
      </c>
      <c r="C32" s="123"/>
      <c r="D32" s="123"/>
      <c r="E32" s="123"/>
      <c r="F32" s="123">
        <f>BS!F28-BS!E28</f>
        <v>42000</v>
      </c>
      <c r="G32" s="123">
        <f>BS!G28-BS!F28</f>
        <v>11000</v>
      </c>
      <c r="H32" s="123">
        <f>BS!H28-BS!G28</f>
        <v>0</v>
      </c>
      <c r="I32" s="123">
        <f>BS!I28-BS!H28</f>
        <v>0</v>
      </c>
      <c r="J32" s="123">
        <f>BS!J28-BS!I28</f>
        <v>0</v>
      </c>
      <c r="K32" s="123">
        <f>BS!K28-BS!J28</f>
        <v>0</v>
      </c>
      <c r="L32" s="123">
        <f>BS!L28-BS!K28</f>
        <v>0</v>
      </c>
      <c r="M32" s="123">
        <f>BS!M28-BS!L28</f>
        <v>0</v>
      </c>
      <c r="N32" s="123">
        <f>BS!N28-BS!M28</f>
        <v>0</v>
      </c>
      <c r="O32" s="123">
        <f>BS!O28-BS!N28</f>
        <v>0</v>
      </c>
    </row>
    <row r="33" spans="1:15" ht="15" customHeight="1" x14ac:dyDescent="0.2">
      <c r="A33" s="7"/>
      <c r="B33" s="1" t="s">
        <v>125</v>
      </c>
      <c r="C33" s="123"/>
      <c r="D33" s="123"/>
      <c r="E33" s="123"/>
      <c r="F33" s="123">
        <f>BS!F29-BS!E29</f>
        <v>20000</v>
      </c>
      <c r="G33" s="123">
        <f>BS!G29-BS!F29</f>
        <v>-3000</v>
      </c>
      <c r="H33" s="123">
        <f>BS!H29-BS!G29</f>
        <v>-2000</v>
      </c>
      <c r="I33" s="123">
        <f>BS!I29-BS!H29</f>
        <v>0</v>
      </c>
      <c r="J33" s="123">
        <f>BS!J29-BS!I29</f>
        <v>0</v>
      </c>
      <c r="K33" s="123">
        <f>BS!K29-BS!J29</f>
        <v>0</v>
      </c>
      <c r="L33" s="123">
        <f>BS!L29-BS!K29</f>
        <v>0</v>
      </c>
      <c r="M33" s="123">
        <f>BS!M29-BS!L29</f>
        <v>-3000</v>
      </c>
      <c r="N33" s="123">
        <f>BS!N29-BS!M29</f>
        <v>-3955.7263333400006</v>
      </c>
      <c r="O33" s="123">
        <f>BS!O29-BS!N29</f>
        <v>0</v>
      </c>
    </row>
    <row r="34" spans="1:15" ht="15" customHeight="1" x14ac:dyDescent="0.2">
      <c r="A34" s="7"/>
      <c r="B34" s="1" t="s">
        <v>126</v>
      </c>
      <c r="C34" s="123"/>
      <c r="D34" s="123"/>
      <c r="E34" s="123"/>
      <c r="F34" s="123">
        <f>BS!F32-BS!E32</f>
        <v>20000</v>
      </c>
      <c r="G34" s="123">
        <f>BS!G32-BS!F32</f>
        <v>0</v>
      </c>
      <c r="H34" s="123">
        <f>BS!H32-BS!G32</f>
        <v>0</v>
      </c>
      <c r="I34" s="123">
        <f>BS!I32-BS!H32</f>
        <v>0</v>
      </c>
      <c r="J34" s="123">
        <f>BS!J32-BS!I32</f>
        <v>0</v>
      </c>
      <c r="K34" s="123">
        <f>BS!K32-BS!J32</f>
        <v>0</v>
      </c>
      <c r="L34" s="123">
        <f>BS!L32-BS!K32</f>
        <v>0</v>
      </c>
      <c r="M34" s="123">
        <f>BS!M32-BS!L32</f>
        <v>0</v>
      </c>
      <c r="N34" s="123">
        <f>BS!N32-BS!M32</f>
        <v>0</v>
      </c>
      <c r="O34" s="123">
        <f>BS!O32-BS!N32</f>
        <v>0</v>
      </c>
    </row>
    <row r="35" spans="1:15" ht="15" customHeight="1" x14ac:dyDescent="0.2">
      <c r="A35" s="7"/>
      <c r="B35" s="1" t="s">
        <v>127</v>
      </c>
      <c r="C35" s="123"/>
      <c r="D35" s="123"/>
      <c r="E35" s="123"/>
      <c r="F35" s="123">
        <f>-Cals!F25</f>
        <v>-2043.7940736772005</v>
      </c>
      <c r="G35" s="123">
        <f ca="1">-Cals!G25</f>
        <v>-2720.3996335106895</v>
      </c>
      <c r="H35" s="123">
        <f ca="1">-Cals!H25</f>
        <v>-3787.0397253950905</v>
      </c>
      <c r="I35" s="123">
        <f ca="1">-Cals!I25</f>
        <v>-4103.5768677146989</v>
      </c>
      <c r="J35" s="123">
        <f ca="1">-Cals!J25</f>
        <v>-4358.1184288300619</v>
      </c>
      <c r="K35" s="123">
        <f ca="1">-Cals!K25</f>
        <v>-4596.8647648261776</v>
      </c>
      <c r="L35" s="123">
        <f ca="1">-Cals!L25</f>
        <v>-4834.1840535766296</v>
      </c>
      <c r="M35" s="123">
        <f ca="1">-Cals!M25</f>
        <v>-5070.1629261798171</v>
      </c>
      <c r="N35" s="123">
        <f ca="1">-Cals!N25</f>
        <v>-5332.1604115949449</v>
      </c>
      <c r="O35" s="123">
        <f ca="1">-Cals!O25</f>
        <v>-5621.272296036067</v>
      </c>
    </row>
    <row r="36" spans="1:15" ht="15" customHeight="1" x14ac:dyDescent="0.2">
      <c r="B36" s="19" t="s">
        <v>128</v>
      </c>
      <c r="C36" s="12"/>
      <c r="D36" s="12"/>
      <c r="E36" s="12"/>
      <c r="F36" s="12">
        <f ca="1">SUM(F29:F35)</f>
        <v>94613.520107224744</v>
      </c>
      <c r="G36" s="12">
        <f t="shared" ref="G36:O36" ca="1" si="5">SUM(G29:G35)</f>
        <v>-16893.698781879601</v>
      </c>
      <c r="H36" s="12">
        <f t="shared" ca="1" si="5"/>
        <v>-10158.612991380633</v>
      </c>
      <c r="I36" s="12">
        <f t="shared" ca="1" si="5"/>
        <v>-8327.3109757419043</v>
      </c>
      <c r="J36" s="12">
        <f t="shared" ca="1" si="5"/>
        <v>-8469.5333124278222</v>
      </c>
      <c r="K36" s="12">
        <f t="shared" ca="1" si="5"/>
        <v>-8594.7122337717919</v>
      </c>
      <c r="L36" s="12">
        <f t="shared" ca="1" si="5"/>
        <v>-8717.0446188058377</v>
      </c>
      <c r="M36" s="12">
        <f t="shared" ca="1" si="5"/>
        <v>-11781.628506467057</v>
      </c>
      <c r="N36" s="12">
        <f t="shared" ca="1" si="5"/>
        <v>-12753.609235535769</v>
      </c>
      <c r="O36" s="12">
        <f t="shared" ca="1" si="5"/>
        <v>-8893.6644522536517</v>
      </c>
    </row>
    <row r="37" spans="1:15" ht="15" customHeight="1" x14ac:dyDescent="0.2">
      <c r="C37" s="123"/>
      <c r="D37" s="123"/>
      <c r="E37" s="123"/>
      <c r="F37" s="123"/>
      <c r="G37" s="123"/>
      <c r="H37" s="123"/>
      <c r="I37" s="123"/>
      <c r="J37" s="123"/>
      <c r="K37" s="123"/>
      <c r="L37" s="123"/>
      <c r="M37" s="123"/>
      <c r="N37" s="123"/>
      <c r="O37" s="123"/>
    </row>
    <row r="38" spans="1:15" ht="15" customHeight="1" x14ac:dyDescent="0.2">
      <c r="B38" s="18" t="s">
        <v>129</v>
      </c>
      <c r="C38" s="123"/>
      <c r="D38" s="123"/>
      <c r="E38" s="123"/>
      <c r="F38" s="123">
        <f t="shared" ref="F38:O38" ca="1" si="6">F18+F26+F36</f>
        <v>-1362.3460732014937</v>
      </c>
      <c r="G38" s="123">
        <f t="shared" ca="1" si="6"/>
        <v>495.11030040448532</v>
      </c>
      <c r="H38" s="123">
        <f t="shared" ca="1" si="6"/>
        <v>7497.3482266672981</v>
      </c>
      <c r="I38" s="123">
        <f t="shared" ca="1" si="6"/>
        <v>9552.0804841596073</v>
      </c>
      <c r="J38" s="123">
        <f t="shared" ca="1" si="6"/>
        <v>9647.786939677062</v>
      </c>
      <c r="K38" s="123">
        <f t="shared" ca="1" si="6"/>
        <v>9765.4463341941337</v>
      </c>
      <c r="L38" s="123">
        <f t="shared" ca="1" si="6"/>
        <v>9890.4346429692487</v>
      </c>
      <c r="M38" s="123">
        <f t="shared" ca="1" si="6"/>
        <v>7074.5200479652685</v>
      </c>
      <c r="N38" s="123">
        <f t="shared" ca="1" si="6"/>
        <v>6337.0818955544455</v>
      </c>
      <c r="O38" s="123">
        <f t="shared" ca="1" si="6"/>
        <v>10448.408030327631</v>
      </c>
    </row>
    <row r="39" spans="1:15" ht="15" customHeight="1" x14ac:dyDescent="0.2">
      <c r="B39" s="18" t="s">
        <v>130</v>
      </c>
      <c r="C39" s="123"/>
      <c r="D39" s="123"/>
      <c r="E39" s="123"/>
      <c r="F39" s="123">
        <f>BS!E11</f>
        <v>2470.51138932</v>
      </c>
      <c r="G39" s="123">
        <f ca="1">BS!F11</f>
        <v>1108.1653161185063</v>
      </c>
      <c r="H39" s="123">
        <f ca="1">BS!G11</f>
        <v>1603.2756165229916</v>
      </c>
      <c r="I39" s="123">
        <f ca="1">BS!H11</f>
        <v>9100.6238431902893</v>
      </c>
      <c r="J39" s="123">
        <f ca="1">BS!I11</f>
        <v>18652.704327349897</v>
      </c>
      <c r="K39" s="123">
        <f ca="1">BS!J11</f>
        <v>28300.491267026962</v>
      </c>
      <c r="L39" s="123">
        <f ca="1">BS!K11</f>
        <v>38065.9376012211</v>
      </c>
      <c r="M39" s="123">
        <f ca="1">BS!L11</f>
        <v>47956.372244190352</v>
      </c>
      <c r="N39" s="123">
        <f ca="1">BS!M11</f>
        <v>55030.892292155622</v>
      </c>
      <c r="O39" s="123">
        <f ca="1">BS!N11</f>
        <v>61367.974187710068</v>
      </c>
    </row>
    <row r="40" spans="1:15" ht="15" customHeight="1" x14ac:dyDescent="0.2">
      <c r="B40" s="18" t="s">
        <v>131</v>
      </c>
      <c r="C40" s="123"/>
      <c r="D40" s="123"/>
      <c r="E40" s="123"/>
      <c r="F40" s="123">
        <f ca="1">SUM(F38:F39)</f>
        <v>1108.1653161185063</v>
      </c>
      <c r="G40" s="123">
        <f t="shared" ref="G40:O40" ca="1" si="7">SUM(G38:G39)</f>
        <v>1603.2756165229916</v>
      </c>
      <c r="H40" s="123">
        <f t="shared" ca="1" si="7"/>
        <v>9100.6238431902893</v>
      </c>
      <c r="I40" s="123">
        <f t="shared" ca="1" si="7"/>
        <v>18652.704327349897</v>
      </c>
      <c r="J40" s="123">
        <f t="shared" ca="1" si="7"/>
        <v>28300.491267026959</v>
      </c>
      <c r="K40" s="123">
        <f t="shared" ca="1" si="7"/>
        <v>38065.9376012211</v>
      </c>
      <c r="L40" s="123">
        <f t="shared" ca="1" si="7"/>
        <v>47956.372244190352</v>
      </c>
      <c r="M40" s="123">
        <f t="shared" ca="1" si="7"/>
        <v>55030.892292155622</v>
      </c>
      <c r="N40" s="123">
        <f t="shared" ca="1" si="7"/>
        <v>61367.974187710068</v>
      </c>
      <c r="O40" s="123">
        <f t="shared" ca="1" si="7"/>
        <v>71816.382218037703</v>
      </c>
    </row>
    <row r="41" spans="1:15" ht="15" customHeight="1" x14ac:dyDescent="0.2">
      <c r="C41" s="123"/>
      <c r="D41" s="123"/>
      <c r="E41" s="123"/>
      <c r="F41" s="123"/>
      <c r="G41" s="123"/>
      <c r="H41" s="123"/>
      <c r="I41" s="123"/>
      <c r="J41" s="123"/>
      <c r="K41" s="123"/>
      <c r="L41" s="123"/>
      <c r="M41" s="123"/>
      <c r="N41" s="123"/>
      <c r="O41" s="123"/>
    </row>
    <row r="42" spans="1:15" ht="15" customHeight="1" x14ac:dyDescent="0.2">
      <c r="A42" s="5" t="s">
        <v>132</v>
      </c>
      <c r="B42" s="7"/>
      <c r="C42" s="123"/>
      <c r="D42" s="123"/>
      <c r="E42" s="123"/>
      <c r="F42" s="123"/>
      <c r="G42" s="123"/>
      <c r="H42" s="123"/>
      <c r="I42" s="123"/>
      <c r="J42" s="123"/>
      <c r="K42" s="123"/>
      <c r="L42" s="123"/>
      <c r="M42" s="123"/>
      <c r="N42" s="123"/>
      <c r="O42" s="123"/>
    </row>
    <row r="43" spans="1:15" ht="15" customHeight="1" x14ac:dyDescent="0.2">
      <c r="A43" s="6"/>
      <c r="B43" s="2" t="s">
        <v>133</v>
      </c>
      <c r="C43" s="123"/>
      <c r="D43" s="123"/>
      <c r="E43" s="123"/>
      <c r="F43" s="123">
        <f>IS!F26*CFS!F8</f>
        <v>486.21671160300002</v>
      </c>
      <c r="G43" s="123">
        <f>IS!G26*CFS!G8</f>
        <v>708.59968280534997</v>
      </c>
      <c r="H43" s="123">
        <f>IS!H26*CFS!H8</f>
        <v>725.01495045210015</v>
      </c>
      <c r="I43" s="123">
        <f>IS!I26*CFS!I8</f>
        <v>741.43021809884988</v>
      </c>
      <c r="J43" s="123">
        <f>IS!J26*CFS!J8</f>
        <v>757.84548574559994</v>
      </c>
      <c r="K43" s="123">
        <f>IS!K26*CFS!K8</f>
        <v>774.26075339235001</v>
      </c>
      <c r="L43" s="123">
        <f>IS!L26*CFS!L8</f>
        <v>790.67602103909996</v>
      </c>
      <c r="M43" s="123">
        <f>IS!M26*CFS!M8</f>
        <v>807.60467968320006</v>
      </c>
      <c r="N43" s="123">
        <f>IS!N26*CFS!N8</f>
        <v>824.53333832729993</v>
      </c>
      <c r="O43" s="123">
        <f>IS!O26*CFS!O8</f>
        <v>841.46199697140003</v>
      </c>
    </row>
    <row r="44" spans="1:15" ht="15" customHeight="1" x14ac:dyDescent="0.2">
      <c r="B44" s="2" t="s">
        <v>134</v>
      </c>
      <c r="C44" s="123"/>
      <c r="D44" s="123"/>
      <c r="E44" s="123"/>
      <c r="F44" s="123">
        <f t="shared" ref="F44:O44" ca="1" si="8">MAX(F40-F43,0)</f>
        <v>621.9486045155063</v>
      </c>
      <c r="G44" s="123">
        <f t="shared" ca="1" si="8"/>
        <v>894.67593371764167</v>
      </c>
      <c r="H44" s="123">
        <f t="shared" ca="1" si="8"/>
        <v>8375.6088927381898</v>
      </c>
      <c r="I44" s="123">
        <f t="shared" ca="1" si="8"/>
        <v>17911.274109251048</v>
      </c>
      <c r="J44" s="123">
        <f t="shared" ca="1" si="8"/>
        <v>27542.645781281361</v>
      </c>
      <c r="K44" s="123">
        <f t="shared" ca="1" si="8"/>
        <v>37291.676847828749</v>
      </c>
      <c r="L44" s="123">
        <f t="shared" ca="1" si="8"/>
        <v>47165.696223151252</v>
      </c>
      <c r="M44" s="123">
        <f t="shared" ca="1" si="8"/>
        <v>54223.287612472421</v>
      </c>
      <c r="N44" s="123">
        <f t="shared" ca="1" si="8"/>
        <v>60543.440849382765</v>
      </c>
      <c r="O44" s="123">
        <f t="shared" ca="1" si="8"/>
        <v>70974.920221066306</v>
      </c>
    </row>
    <row r="45" spans="1:15" ht="15" customHeight="1" x14ac:dyDescent="0.2">
      <c r="B45" s="2" t="s">
        <v>135</v>
      </c>
      <c r="C45" s="123"/>
      <c r="D45" s="123"/>
      <c r="E45" s="123"/>
      <c r="F45" s="123">
        <f ca="1">MAX(F43-F40,0)</f>
        <v>0</v>
      </c>
      <c r="G45" s="123">
        <f t="shared" ref="G45:O45" ca="1" si="9">MAX(G43-G40,0)</f>
        <v>0</v>
      </c>
      <c r="H45" s="123">
        <f t="shared" ca="1" si="9"/>
        <v>0</v>
      </c>
      <c r="I45" s="123">
        <f t="shared" ca="1" si="9"/>
        <v>0</v>
      </c>
      <c r="J45" s="123">
        <f t="shared" ca="1" si="9"/>
        <v>0</v>
      </c>
      <c r="K45" s="123">
        <f t="shared" ca="1" si="9"/>
        <v>0</v>
      </c>
      <c r="L45" s="123">
        <f t="shared" ca="1" si="9"/>
        <v>0</v>
      </c>
      <c r="M45" s="123">
        <f t="shared" ca="1" si="9"/>
        <v>0</v>
      </c>
      <c r="N45" s="123">
        <f t="shared" ca="1" si="9"/>
        <v>0</v>
      </c>
      <c r="O45" s="123">
        <f t="shared" ca="1" si="9"/>
        <v>0</v>
      </c>
    </row>
    <row r="46" spans="1:15" ht="15" customHeight="1" x14ac:dyDescent="0.2">
      <c r="B46" s="2" t="s">
        <v>136</v>
      </c>
      <c r="C46" s="123"/>
      <c r="D46" s="123"/>
      <c r="E46" s="123"/>
      <c r="F46" s="123">
        <f ca="1">F43+F44</f>
        <v>1108.1653161185063</v>
      </c>
      <c r="G46" s="123">
        <f t="shared" ref="G46:O46" ca="1" si="10">G43+G44</f>
        <v>1603.2756165229916</v>
      </c>
      <c r="H46" s="123">
        <f t="shared" ca="1" si="10"/>
        <v>9100.6238431902893</v>
      </c>
      <c r="I46" s="123">
        <f t="shared" ca="1" si="10"/>
        <v>18652.704327349897</v>
      </c>
      <c r="J46" s="123">
        <f t="shared" ca="1" si="10"/>
        <v>28300.491267026962</v>
      </c>
      <c r="K46" s="123">
        <f t="shared" ca="1" si="10"/>
        <v>38065.9376012211</v>
      </c>
      <c r="L46" s="123">
        <f t="shared" ca="1" si="10"/>
        <v>47956.372244190352</v>
      </c>
      <c r="M46" s="123">
        <f t="shared" ca="1" si="10"/>
        <v>55030.892292155622</v>
      </c>
      <c r="N46" s="123">
        <f t="shared" ca="1" si="10"/>
        <v>61367.974187710068</v>
      </c>
      <c r="O46" s="123">
        <f t="shared" ca="1" si="10"/>
        <v>71816.382218037703</v>
      </c>
    </row>
    <row r="47" spans="1:15" ht="15" customHeight="1" x14ac:dyDescent="0.2">
      <c r="B47" s="144"/>
      <c r="C47" s="123"/>
      <c r="D47" s="123"/>
      <c r="E47" s="123"/>
      <c r="F47" s="123"/>
      <c r="G47" s="129"/>
      <c r="H47" s="129"/>
      <c r="I47" s="129"/>
      <c r="J47" s="129"/>
      <c r="K47" s="129"/>
      <c r="L47" s="129"/>
      <c r="M47" s="129"/>
      <c r="N47" s="129"/>
      <c r="O47" s="129"/>
    </row>
    <row r="48" spans="1:15" ht="15" customHeight="1" x14ac:dyDescent="0.2">
      <c r="B48" s="144"/>
      <c r="C48" s="123"/>
      <c r="D48" s="123"/>
      <c r="E48" s="123"/>
      <c r="F48" s="123"/>
      <c r="G48" s="129"/>
      <c r="H48" s="129"/>
      <c r="I48" s="129"/>
      <c r="J48" s="129"/>
      <c r="K48" s="129"/>
      <c r="L48" s="129"/>
      <c r="M48" s="129"/>
      <c r="N48" s="129"/>
      <c r="O48" s="129"/>
    </row>
    <row r="49" spans="2:15" ht="15" customHeight="1" x14ac:dyDescent="0.2">
      <c r="B49" s="144"/>
      <c r="C49" s="123"/>
      <c r="D49" s="123"/>
      <c r="E49" s="123"/>
      <c r="F49" s="123"/>
      <c r="G49" s="129"/>
      <c r="H49" s="129"/>
      <c r="I49" s="129"/>
      <c r="J49" s="129"/>
      <c r="K49" s="129"/>
      <c r="L49" s="129"/>
      <c r="M49" s="129"/>
      <c r="N49" s="129"/>
      <c r="O49" s="129"/>
    </row>
    <row r="50" spans="2:15" ht="15" customHeight="1" x14ac:dyDescent="0.2">
      <c r="B50" s="144"/>
      <c r="C50" s="123"/>
      <c r="D50" s="123"/>
      <c r="E50" s="123"/>
      <c r="F50" s="123"/>
      <c r="G50" s="129"/>
      <c r="H50" s="129"/>
      <c r="I50" s="129"/>
      <c r="J50" s="129"/>
      <c r="K50" s="129"/>
      <c r="L50" s="129"/>
      <c r="M50" s="129"/>
      <c r="N50" s="129"/>
      <c r="O50" s="129"/>
    </row>
    <row r="51" spans="2:15" ht="15" customHeight="1" x14ac:dyDescent="0.2">
      <c r="B51" s="144"/>
      <c r="C51" s="123"/>
      <c r="D51" s="123"/>
      <c r="E51" s="123"/>
      <c r="F51" s="123"/>
      <c r="G51" s="129"/>
      <c r="H51" s="129"/>
      <c r="I51" s="129"/>
      <c r="J51" s="129"/>
      <c r="K51" s="129"/>
      <c r="L51" s="129"/>
      <c r="M51" s="129"/>
      <c r="N51" s="129"/>
      <c r="O51" s="129"/>
    </row>
    <row r="52" spans="2:15" ht="15" customHeight="1" x14ac:dyDescent="0.2">
      <c r="B52" s="144"/>
      <c r="C52" s="123"/>
      <c r="D52" s="123"/>
      <c r="E52" s="123"/>
      <c r="F52" s="123"/>
      <c r="G52" s="129"/>
      <c r="H52" s="129"/>
      <c r="I52" s="129"/>
      <c r="J52" s="129"/>
      <c r="K52" s="129"/>
      <c r="L52" s="129"/>
      <c r="M52" s="129"/>
      <c r="N52" s="129"/>
      <c r="O52" s="129"/>
    </row>
    <row r="53" spans="2:15" ht="15" customHeight="1" x14ac:dyDescent="0.2">
      <c r="B53" s="144"/>
      <c r="C53" s="123"/>
      <c r="D53" s="123"/>
      <c r="E53" s="123"/>
      <c r="F53" s="123"/>
      <c r="G53" s="129"/>
      <c r="H53" s="129"/>
      <c r="I53" s="129"/>
      <c r="J53" s="129"/>
      <c r="K53" s="129"/>
      <c r="L53" s="129"/>
      <c r="M53" s="129"/>
      <c r="N53" s="129"/>
      <c r="O53" s="129"/>
    </row>
    <row r="54" spans="2:15" ht="15" customHeight="1" x14ac:dyDescent="0.2">
      <c r="B54" s="144"/>
      <c r="C54" s="123"/>
      <c r="D54" s="123"/>
      <c r="E54" s="123"/>
      <c r="F54" s="123"/>
      <c r="G54" s="129"/>
      <c r="H54" s="129"/>
      <c r="I54" s="129"/>
      <c r="J54" s="129"/>
      <c r="K54" s="129"/>
      <c r="L54" s="129"/>
      <c r="M54" s="129"/>
      <c r="N54" s="129"/>
      <c r="O54" s="129"/>
    </row>
    <row r="55" spans="2:15" ht="15" customHeight="1" x14ac:dyDescent="0.2">
      <c r="B55" s="144"/>
      <c r="C55" s="123"/>
      <c r="D55" s="123"/>
      <c r="E55" s="123"/>
      <c r="F55" s="123"/>
      <c r="G55" s="129"/>
      <c r="H55" s="129"/>
      <c r="I55" s="129"/>
      <c r="J55" s="129"/>
      <c r="K55" s="129"/>
      <c r="L55" s="129"/>
      <c r="M55" s="129"/>
      <c r="N55" s="129"/>
      <c r="O55" s="129"/>
    </row>
    <row r="56" spans="2:15" ht="15" customHeight="1" x14ac:dyDescent="0.2">
      <c r="B56" s="144"/>
      <c r="F56" s="123"/>
      <c r="G56" s="129"/>
      <c r="H56" s="129"/>
      <c r="I56" s="129"/>
      <c r="J56" s="129"/>
      <c r="K56" s="129"/>
      <c r="L56" s="129"/>
      <c r="M56" s="129"/>
      <c r="N56" s="129"/>
      <c r="O56" s="129"/>
    </row>
    <row r="57" spans="2:15" ht="15" customHeight="1" x14ac:dyDescent="0.2">
      <c r="B57" s="144"/>
      <c r="F57" s="123"/>
      <c r="G57" s="129"/>
      <c r="H57" s="129"/>
      <c r="I57" s="129"/>
      <c r="J57" s="129"/>
      <c r="K57" s="129"/>
      <c r="L57" s="129"/>
      <c r="M57" s="129"/>
      <c r="N57" s="129"/>
      <c r="O57" s="129"/>
    </row>
    <row r="58" spans="2:15" ht="15" customHeight="1" x14ac:dyDescent="0.2">
      <c r="F58" s="123"/>
      <c r="G58" s="129"/>
      <c r="H58" s="129"/>
      <c r="I58" s="129"/>
      <c r="J58" s="129"/>
      <c r="K58" s="129"/>
      <c r="L58" s="129"/>
      <c r="M58" s="129"/>
      <c r="N58" s="129"/>
      <c r="O58" s="129"/>
    </row>
    <row r="59" spans="2:15" ht="15" customHeight="1" x14ac:dyDescent="0.2">
      <c r="F59" s="123"/>
      <c r="G59" s="129"/>
      <c r="H59" s="129"/>
      <c r="I59" s="129"/>
      <c r="J59" s="129"/>
      <c r="K59" s="129"/>
      <c r="L59" s="129"/>
      <c r="M59" s="129"/>
      <c r="N59" s="129"/>
      <c r="O59" s="129"/>
    </row>
    <row r="60" spans="2:15" ht="15" customHeight="1" x14ac:dyDescent="0.2">
      <c r="F60" s="123"/>
      <c r="G60" s="129"/>
      <c r="H60" s="129"/>
      <c r="I60" s="129"/>
      <c r="J60" s="129"/>
      <c r="K60" s="129"/>
      <c r="L60" s="129"/>
      <c r="M60" s="129"/>
      <c r="N60" s="129"/>
      <c r="O60" s="129"/>
    </row>
    <row r="61" spans="2:15" ht="15" customHeight="1" x14ac:dyDescent="0.2">
      <c r="F61" s="123"/>
      <c r="G61" s="129"/>
      <c r="H61" s="129"/>
      <c r="I61" s="129"/>
      <c r="J61" s="129"/>
      <c r="K61" s="129"/>
      <c r="L61" s="129"/>
      <c r="M61" s="129"/>
      <c r="N61" s="129"/>
      <c r="O61" s="129"/>
    </row>
    <row r="62" spans="2:15" ht="15" customHeight="1" x14ac:dyDescent="0.2">
      <c r="F62" s="129"/>
      <c r="G62" s="129"/>
      <c r="H62" s="129"/>
      <c r="I62" s="129"/>
      <c r="J62" s="129"/>
      <c r="K62" s="129"/>
      <c r="L62" s="129"/>
      <c r="M62" s="129"/>
      <c r="N62" s="129"/>
      <c r="O62" s="129"/>
    </row>
    <row r="63" spans="2:15" ht="15" customHeight="1" x14ac:dyDescent="0.2">
      <c r="F63" s="129"/>
      <c r="G63" s="129"/>
      <c r="H63" s="129"/>
      <c r="I63" s="129"/>
      <c r="J63" s="129"/>
      <c r="K63" s="129"/>
      <c r="L63" s="129"/>
      <c r="M63" s="129"/>
      <c r="N63" s="129"/>
      <c r="O63" s="129"/>
    </row>
    <row r="64" spans="2:15" ht="15" customHeight="1" x14ac:dyDescent="0.2">
      <c r="F64" s="129"/>
      <c r="G64" s="129"/>
      <c r="H64" s="129"/>
      <c r="I64" s="129"/>
      <c r="J64" s="129"/>
      <c r="K64" s="129"/>
      <c r="L64" s="129"/>
      <c r="M64" s="129"/>
      <c r="N64" s="129"/>
      <c r="O64" s="129"/>
    </row>
    <row r="65" spans="6:15" ht="15" customHeight="1" x14ac:dyDescent="0.2">
      <c r="F65" s="129"/>
      <c r="G65" s="129"/>
      <c r="H65" s="129"/>
      <c r="I65" s="129"/>
      <c r="J65" s="129"/>
      <c r="K65" s="129"/>
      <c r="L65" s="129"/>
      <c r="M65" s="129"/>
      <c r="N65" s="129"/>
      <c r="O65" s="129"/>
    </row>
    <row r="66" spans="6:15" ht="15" customHeight="1" x14ac:dyDescent="0.2">
      <c r="F66" s="129"/>
      <c r="G66" s="129"/>
      <c r="H66" s="129"/>
      <c r="I66" s="129"/>
      <c r="J66" s="129"/>
      <c r="K66" s="129"/>
      <c r="L66" s="129"/>
      <c r="M66" s="129"/>
      <c r="N66" s="129"/>
      <c r="O66" s="129"/>
    </row>
    <row r="67" spans="6:15" ht="15" customHeight="1" x14ac:dyDescent="0.2">
      <c r="F67" s="129"/>
      <c r="G67" s="129"/>
      <c r="H67" s="129"/>
      <c r="I67" s="129"/>
      <c r="J67" s="129"/>
      <c r="K67" s="129"/>
      <c r="L67" s="129"/>
      <c r="M67" s="129"/>
      <c r="N67" s="129"/>
      <c r="O67" s="129"/>
    </row>
  </sheetData>
  <phoneticPr fontId="2" type="noConversion"/>
  <printOptions horizontalCentered="1" verticalCentered="1" headings="1"/>
  <pageMargins left="0.74803149606299213" right="0.74803149606299213" top="0.98425196850393704" bottom="0.98425196850393704" header="0.51181102362204722" footer="0.51181102362204722"/>
  <pageSetup paperSize="9" scale="66" orientation="landscape" blackAndWhite="1" verticalDpi="1200" r:id="rId1"/>
  <headerFooter alignWithMargins="0">
    <oddHeader>&amp;L&amp;"宋体,常规"诚迅金融培训&amp;Rwww.chainshine.com</oddHeader>
    <oddFooter>第 &amp;P 页，共 &amp;N 页</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fitToPage="1"/>
  </sheetPr>
  <dimension ref="A1:O101"/>
  <sheetViews>
    <sheetView zoomScaleNormal="100" zoomScaleSheetLayoutView="100" workbookViewId="0">
      <pane xSplit="2" ySplit="5" topLeftCell="C6" activePane="bottomRight" state="frozen"/>
      <selection activeCell="A6" sqref="A6"/>
      <selection pane="topRight" activeCell="A6" sqref="A6"/>
      <selection pane="bottomLeft" activeCell="A6" sqref="A6"/>
      <selection pane="bottomRight" activeCell="C6" sqref="C6"/>
    </sheetView>
  </sheetViews>
  <sheetFormatPr defaultColWidth="0" defaultRowHeight="15" customHeight="1" x14ac:dyDescent="0.2"/>
  <cols>
    <col min="1" max="1" width="1.7109375" style="121" customWidth="1"/>
    <col min="2" max="2" width="27.7109375" style="121" customWidth="1"/>
    <col min="3" max="15" width="10.7109375" style="121" customWidth="1"/>
    <col min="16" max="16" width="1.7109375" style="121" customWidth="1"/>
    <col min="17" max="16384" width="0" style="121" hidden="1"/>
  </cols>
  <sheetData>
    <row r="1" spans="1:15" ht="24" customHeight="1" x14ac:dyDescent="0.3">
      <c r="A1" s="110" t="s">
        <v>77</v>
      </c>
      <c r="B1" s="120"/>
      <c r="C1" s="111"/>
      <c r="D1" s="111"/>
      <c r="E1" s="111"/>
      <c r="F1" s="111"/>
      <c r="G1" s="111"/>
      <c r="H1" s="111"/>
      <c r="I1" s="111"/>
      <c r="J1" s="111"/>
      <c r="K1" s="111"/>
      <c r="L1" s="111"/>
      <c r="M1" s="111"/>
      <c r="N1" s="111"/>
      <c r="O1" s="111"/>
    </row>
    <row r="2" spans="1:15" ht="2.1" customHeight="1" x14ac:dyDescent="0.2">
      <c r="A2" s="26"/>
      <c r="B2" s="147"/>
      <c r="C2" s="112"/>
      <c r="D2" s="112"/>
      <c r="E2" s="112"/>
      <c r="F2" s="112"/>
      <c r="G2" s="112"/>
      <c r="H2" s="112"/>
      <c r="I2" s="112"/>
      <c r="J2" s="112"/>
      <c r="K2" s="112"/>
      <c r="L2" s="112"/>
      <c r="M2" s="112"/>
      <c r="N2" s="112"/>
      <c r="O2" s="112"/>
    </row>
    <row r="3" spans="1:15" ht="18" customHeight="1" x14ac:dyDescent="0.25">
      <c r="A3" s="210" t="s">
        <v>246</v>
      </c>
      <c r="B3" s="172"/>
      <c r="C3" s="172"/>
      <c r="D3" s="173"/>
      <c r="E3" s="173"/>
      <c r="F3" s="173"/>
      <c r="G3" s="173"/>
      <c r="H3" s="173"/>
      <c r="I3" s="173"/>
      <c r="J3" s="173"/>
      <c r="K3" s="173"/>
      <c r="L3" s="173"/>
      <c r="M3" s="173"/>
      <c r="N3" s="173"/>
      <c r="O3" s="173"/>
    </row>
    <row r="4" spans="1:15" ht="2.1" customHeight="1" x14ac:dyDescent="0.2">
      <c r="A4" s="174"/>
      <c r="B4" s="175"/>
      <c r="C4" s="175"/>
      <c r="D4" s="176"/>
      <c r="E4" s="176"/>
      <c r="F4" s="176"/>
      <c r="G4" s="176"/>
      <c r="H4" s="176"/>
      <c r="I4" s="176"/>
      <c r="J4" s="176"/>
      <c r="K4" s="176"/>
      <c r="L4" s="176"/>
      <c r="M4" s="108" t="s">
        <v>93</v>
      </c>
      <c r="N4" s="108" t="s">
        <v>93</v>
      </c>
      <c r="O4" s="108" t="s">
        <v>93</v>
      </c>
    </row>
    <row r="5" spans="1:15" ht="15" customHeight="1" x14ac:dyDescent="0.2">
      <c r="A5" s="113" t="s">
        <v>94</v>
      </c>
      <c r="C5" s="114">
        <v>39082</v>
      </c>
      <c r="D5" s="114">
        <v>39447</v>
      </c>
      <c r="E5" s="114">
        <v>39813</v>
      </c>
      <c r="F5" s="115">
        <v>40178</v>
      </c>
      <c r="G5" s="115">
        <v>40543</v>
      </c>
      <c r="H5" s="115">
        <v>40908</v>
      </c>
      <c r="I5" s="115">
        <v>41274</v>
      </c>
      <c r="J5" s="115">
        <v>41639</v>
      </c>
      <c r="K5" s="115">
        <v>42004</v>
      </c>
      <c r="L5" s="115">
        <v>42369</v>
      </c>
      <c r="M5" s="115">
        <v>42735</v>
      </c>
      <c r="N5" s="115">
        <v>43100</v>
      </c>
      <c r="O5" s="115">
        <v>43465</v>
      </c>
    </row>
    <row r="6" spans="1:15" ht="15" customHeight="1" x14ac:dyDescent="0.2">
      <c r="A6" s="6"/>
      <c r="D6" s="8"/>
      <c r="E6" s="8"/>
      <c r="F6" s="43"/>
      <c r="G6" s="43"/>
      <c r="H6" s="43"/>
      <c r="I6" s="43"/>
      <c r="J6" s="43"/>
      <c r="K6" s="43"/>
      <c r="L6" s="43"/>
      <c r="M6" s="43"/>
      <c r="N6" s="43"/>
      <c r="O6" s="43"/>
    </row>
    <row r="7" spans="1:15" ht="15" customHeight="1" x14ac:dyDescent="0.2">
      <c r="A7" s="5" t="s">
        <v>95</v>
      </c>
    </row>
    <row r="8" spans="1:15" ht="15" customHeight="1" x14ac:dyDescent="0.2">
      <c r="A8" s="6"/>
      <c r="B8" s="246" t="s">
        <v>290</v>
      </c>
      <c r="C8" s="123">
        <f>IS!C26</f>
        <v>7668.9619232399991</v>
      </c>
      <c r="D8" s="123">
        <f>IS!D26</f>
        <v>9477.6152382399996</v>
      </c>
      <c r="E8" s="123">
        <f>IS!E26</f>
        <v>9532.5417500299991</v>
      </c>
      <c r="F8" s="123">
        <f>IS!F26</f>
        <v>16207.223720100001</v>
      </c>
      <c r="G8" s="123">
        <f>IS!G26</f>
        <v>23619.989426845001</v>
      </c>
      <c r="H8" s="123">
        <f>IS!H26</f>
        <v>24167.165015070004</v>
      </c>
      <c r="I8" s="123">
        <f>IS!I26</f>
        <v>24714.340603294997</v>
      </c>
      <c r="J8" s="123">
        <f>IS!J26</f>
        <v>25261.516191520001</v>
      </c>
      <c r="K8" s="123">
        <f>IS!K26</f>
        <v>25808.691779745001</v>
      </c>
      <c r="L8" s="123">
        <f>IS!L26</f>
        <v>26355.86736797</v>
      </c>
      <c r="M8" s="123">
        <f>IS!M26</f>
        <v>26920.155989440002</v>
      </c>
      <c r="N8" s="123">
        <f>IS!N26</f>
        <v>27484.444610909999</v>
      </c>
      <c r="O8" s="123">
        <f>IS!O26</f>
        <v>28048.73323238</v>
      </c>
    </row>
    <row r="9" spans="1:15" ht="15" customHeight="1" x14ac:dyDescent="0.2">
      <c r="A9" s="6"/>
      <c r="B9" s="246" t="s">
        <v>288</v>
      </c>
      <c r="C9" s="123">
        <f>IS!C35</f>
        <v>6544.7733607199989</v>
      </c>
      <c r="D9" s="123">
        <f>IS!D35</f>
        <v>8130.9304520699989</v>
      </c>
      <c r="E9" s="123">
        <f>IS!E35</f>
        <v>7583.3493189599994</v>
      </c>
      <c r="F9" s="123">
        <f>IS!F35</f>
        <v>13882.904638679202</v>
      </c>
      <c r="G9" s="123">
        <f>IS!G35</f>
        <v>20533.431348585778</v>
      </c>
      <c r="H9" s="123">
        <f>IS!H35</f>
        <v>20989.021528445683</v>
      </c>
      <c r="I9" s="123">
        <f>IS!I35</f>
        <v>21442.344994837571</v>
      </c>
      <c r="J9" s="123">
        <f>IS!J35</f>
        <v>21893.220410684018</v>
      </c>
      <c r="K9" s="123">
        <f>IS!K35</f>
        <v>22341.451931941381</v>
      </c>
      <c r="L9" s="123">
        <f>IS!L35</f>
        <v>22786.828047042531</v>
      </c>
      <c r="M9" s="123">
        <f>IS!M35</f>
        <v>23244.255152896974</v>
      </c>
      <c r="N9" s="123">
        <f>IS!N35</f>
        <v>23698.351713010808</v>
      </c>
      <c r="O9" s="123">
        <f>IS!O35</f>
        <v>24148.851283724794</v>
      </c>
    </row>
    <row r="10" spans="1:15" ht="15" customHeight="1" x14ac:dyDescent="0.2">
      <c r="B10" s="246" t="s">
        <v>289</v>
      </c>
      <c r="C10" s="123">
        <f>IS!C39</f>
        <v>5215.1989812999991</v>
      </c>
      <c r="D10" s="123">
        <f>IS!D39</f>
        <v>6381.8961933899991</v>
      </c>
      <c r="E10" s="123">
        <f>IS!E39</f>
        <v>5663.71595815</v>
      </c>
      <c r="F10" s="123">
        <f>IS!F39</f>
        <v>9818.0694947664833</v>
      </c>
      <c r="G10" s="123">
        <f>IS!G39</f>
        <v>14383.657418612733</v>
      </c>
      <c r="H10" s="123">
        <f>IS!H39</f>
        <v>14893.565234484769</v>
      </c>
      <c r="I10" s="123">
        <f>IS!I39</f>
        <v>15398.396746053004</v>
      </c>
      <c r="J10" s="123">
        <f>IS!J39</f>
        <v>15898.24761392129</v>
      </c>
      <c r="K10" s="123">
        <f>IS!K39</f>
        <v>16393.191196065174</v>
      </c>
      <c r="L10" s="123">
        <f>IS!L39</f>
        <v>16883.278324664636</v>
      </c>
      <c r="M10" s="123">
        <f>IS!M39</f>
        <v>17383.671763864022</v>
      </c>
      <c r="N10" s="123">
        <f>IS!N39</f>
        <v>17879.241198385611</v>
      </c>
      <c r="O10" s="123">
        <f>IS!O39</f>
        <v>18369.967042969649</v>
      </c>
    </row>
    <row r="11" spans="1:15" ht="15" customHeight="1" x14ac:dyDescent="0.2">
      <c r="B11" s="246" t="s">
        <v>291</v>
      </c>
      <c r="C11" s="143">
        <f>IS!C19</f>
        <v>0.32794223906062347</v>
      </c>
      <c r="D11" s="143">
        <f>IS!D19</f>
        <v>0.29242933591551418</v>
      </c>
      <c r="E11" s="143">
        <f>IS!E19</f>
        <v>0.24197089511759517</v>
      </c>
      <c r="F11" s="143">
        <f>IS!F19</f>
        <v>0.25</v>
      </c>
      <c r="G11" s="143">
        <f>IS!G19</f>
        <v>0.25</v>
      </c>
      <c r="H11" s="143">
        <f>IS!H19</f>
        <v>0.25</v>
      </c>
      <c r="I11" s="143">
        <f>IS!I19</f>
        <v>0.25</v>
      </c>
      <c r="J11" s="143">
        <f>IS!J19</f>
        <v>0.25</v>
      </c>
      <c r="K11" s="143">
        <f>IS!K19</f>
        <v>0.25</v>
      </c>
      <c r="L11" s="143">
        <f>IS!L19</f>
        <v>0.25</v>
      </c>
      <c r="M11" s="143">
        <f>IS!M19</f>
        <v>0.25</v>
      </c>
      <c r="N11" s="143">
        <f>IS!N19</f>
        <v>0.25</v>
      </c>
      <c r="O11" s="143">
        <f>IS!O19</f>
        <v>0.25</v>
      </c>
    </row>
    <row r="12" spans="1:15" ht="15" customHeight="1" x14ac:dyDescent="0.2">
      <c r="B12" s="246" t="s">
        <v>96</v>
      </c>
      <c r="C12" s="123">
        <f>C10*(1-C11)</f>
        <v>3504.9149502257947</v>
      </c>
      <c r="D12" s="123">
        <f>D10*(1-D11)</f>
        <v>4515.6425276752143</v>
      </c>
      <c r="E12" s="123">
        <f>E10*(1-E11)</f>
        <v>4293.2615380646366</v>
      </c>
      <c r="F12" s="123">
        <f>F10*(1-F11)</f>
        <v>7363.552121074863</v>
      </c>
      <c r="G12" s="123">
        <f t="shared" ref="G12:O12" si="0">G10*(1-G11)</f>
        <v>10787.74306395955</v>
      </c>
      <c r="H12" s="123">
        <f t="shared" si="0"/>
        <v>11170.173925863577</v>
      </c>
      <c r="I12" s="123">
        <f t="shared" si="0"/>
        <v>11548.797559539753</v>
      </c>
      <c r="J12" s="123">
        <f t="shared" si="0"/>
        <v>11923.685710440968</v>
      </c>
      <c r="K12" s="123">
        <f t="shared" si="0"/>
        <v>12294.89339704888</v>
      </c>
      <c r="L12" s="123">
        <f t="shared" si="0"/>
        <v>12662.458743498477</v>
      </c>
      <c r="M12" s="123">
        <f t="shared" si="0"/>
        <v>13037.753822898016</v>
      </c>
      <c r="N12" s="123">
        <f t="shared" si="0"/>
        <v>13409.430898789207</v>
      </c>
      <c r="O12" s="123">
        <f t="shared" si="0"/>
        <v>13777.475282227237</v>
      </c>
    </row>
    <row r="13" spans="1:15" ht="15" customHeight="1" x14ac:dyDescent="0.2">
      <c r="B13" s="246" t="s">
        <v>292</v>
      </c>
      <c r="C13" s="123">
        <f>IS!C49</f>
        <v>3615.2355531999992</v>
      </c>
      <c r="D13" s="123">
        <f>IS!D49</f>
        <v>5372.4828854399984</v>
      </c>
      <c r="E13" s="123">
        <f>IS!E49</f>
        <v>3930.3732186100005</v>
      </c>
      <c r="F13" s="123">
        <f ca="1">IS!F49</f>
        <v>5231.537756751326</v>
      </c>
      <c r="G13" s="123">
        <f ca="1">IS!G49</f>
        <v>7282.7687026828662</v>
      </c>
      <c r="H13" s="123">
        <f ca="1">IS!H49</f>
        <v>7891.4939763744205</v>
      </c>
      <c r="I13" s="123">
        <f ca="1">IS!I49</f>
        <v>8380.9969785193498</v>
      </c>
      <c r="J13" s="123">
        <f ca="1">IS!J49</f>
        <v>8840.1245477426492</v>
      </c>
      <c r="K13" s="123">
        <f ca="1">IS!K49</f>
        <v>9296.5077953396722</v>
      </c>
      <c r="L13" s="123">
        <f ca="1">IS!L49</f>
        <v>9750.3133195765713</v>
      </c>
      <c r="M13" s="123">
        <f ca="1">IS!M49</f>
        <v>10254.154637682586</v>
      </c>
      <c r="N13" s="123">
        <f ca="1">IS!N49</f>
        <v>10810.139030838591</v>
      </c>
      <c r="O13" s="123">
        <f ca="1">IS!O49</f>
        <v>11323.181165064048</v>
      </c>
    </row>
    <row r="14" spans="1:15" ht="15" customHeight="1" x14ac:dyDescent="0.2">
      <c r="B14" s="246" t="s">
        <v>293</v>
      </c>
      <c r="C14" s="123">
        <f>IS!C41</f>
        <v>707.20196785999997</v>
      </c>
      <c r="D14" s="123">
        <f>IS!D41</f>
        <v>865.54470962000005</v>
      </c>
      <c r="E14" s="123">
        <f>IS!E41</f>
        <v>901.76586831999998</v>
      </c>
      <c r="F14" s="123">
        <f ca="1">IS!F41</f>
        <v>2842.6858190980488</v>
      </c>
      <c r="G14" s="123">
        <f ca="1">IS!G41</f>
        <v>4673.2991483689111</v>
      </c>
      <c r="H14" s="123">
        <f ca="1">IS!H41</f>
        <v>4371.5732659855412</v>
      </c>
      <c r="I14" s="123">
        <f ca="1">IS!I41</f>
        <v>4223.7341080272045</v>
      </c>
      <c r="J14" s="123">
        <f ca="1">IS!J41</f>
        <v>4111.4148835977594</v>
      </c>
      <c r="K14" s="123">
        <f ca="1">IS!K41</f>
        <v>3997.8474689456134</v>
      </c>
      <c r="L14" s="123">
        <f ca="1">IS!L41</f>
        <v>3882.8605652292076</v>
      </c>
      <c r="M14" s="123">
        <f ca="1">IS!M41</f>
        <v>3711.4655802872398</v>
      </c>
      <c r="N14" s="123">
        <f ca="1">IS!N41</f>
        <v>3465.7224906008228</v>
      </c>
      <c r="O14" s="123">
        <f ca="1">IS!O41</f>
        <v>3272.3921562175856</v>
      </c>
    </row>
    <row r="15" spans="1:15" ht="15" customHeight="1" x14ac:dyDescent="0.2">
      <c r="B15" s="246" t="s">
        <v>294</v>
      </c>
      <c r="C15" s="123">
        <f>BS!C22</f>
        <v>0</v>
      </c>
      <c r="D15" s="123">
        <f>BS!D22</f>
        <v>0</v>
      </c>
      <c r="E15" s="123">
        <f>BS!E22</f>
        <v>0</v>
      </c>
      <c r="F15" s="123">
        <f ca="1">BS!F22</f>
        <v>0</v>
      </c>
      <c r="G15" s="123">
        <f ca="1">BS!G22</f>
        <v>0</v>
      </c>
      <c r="H15" s="123">
        <f ca="1">BS!H22</f>
        <v>0</v>
      </c>
      <c r="I15" s="123">
        <f ca="1">BS!I22</f>
        <v>0</v>
      </c>
      <c r="J15" s="123">
        <f ca="1">BS!J22</f>
        <v>0</v>
      </c>
      <c r="K15" s="123">
        <f ca="1">BS!K22</f>
        <v>0</v>
      </c>
      <c r="L15" s="123">
        <f ca="1">BS!L22</f>
        <v>0</v>
      </c>
      <c r="M15" s="123">
        <f ca="1">BS!M22</f>
        <v>0</v>
      </c>
      <c r="N15" s="123">
        <f ca="1">BS!N22</f>
        <v>0</v>
      </c>
      <c r="O15" s="123">
        <f ca="1">BS!O22</f>
        <v>0</v>
      </c>
    </row>
    <row r="16" spans="1:15" ht="15" customHeight="1" x14ac:dyDescent="0.2">
      <c r="B16" s="233" t="s">
        <v>295</v>
      </c>
      <c r="C16" s="123">
        <f>BS!C23</f>
        <v>5811.4396116700009</v>
      </c>
      <c r="D16" s="123">
        <f>BS!D23</f>
        <v>8182.4880159999993</v>
      </c>
      <c r="E16" s="123">
        <f>BS!E23</f>
        <v>5661.4824732900006</v>
      </c>
      <c r="F16" s="123">
        <f>BS!F23</f>
        <v>23161.482473290002</v>
      </c>
      <c r="G16" s="123">
        <f>BS!G23</f>
        <v>5661.4824732900015</v>
      </c>
      <c r="H16" s="123">
        <f>BS!H23</f>
        <v>5661.4824732900015</v>
      </c>
      <c r="I16" s="123">
        <f>BS!I23</f>
        <v>5661.4824732900015</v>
      </c>
      <c r="J16" s="123">
        <f>BS!J23</f>
        <v>5661.4824732900015</v>
      </c>
      <c r="K16" s="123">
        <f>BS!K23</f>
        <v>5661.4824732900015</v>
      </c>
      <c r="L16" s="123">
        <f>BS!L23</f>
        <v>5661.4824732900015</v>
      </c>
      <c r="M16" s="123">
        <f>BS!M23</f>
        <v>5661.4824732900015</v>
      </c>
      <c r="N16" s="123">
        <f>BS!N23</f>
        <v>5661.4824732900015</v>
      </c>
      <c r="O16" s="123">
        <f>BS!O23</f>
        <v>5661.4824732900015</v>
      </c>
    </row>
    <row r="17" spans="1:15" ht="15" customHeight="1" x14ac:dyDescent="0.2">
      <c r="B17" s="246" t="s">
        <v>296</v>
      </c>
      <c r="C17" s="123">
        <f>BS!C28</f>
        <v>8500</v>
      </c>
      <c r="D17" s="123">
        <f>BS!D28</f>
        <v>6800</v>
      </c>
      <c r="E17" s="123">
        <f>BS!E28</f>
        <v>6800</v>
      </c>
      <c r="F17" s="123">
        <f>BS!F28</f>
        <v>48800</v>
      </c>
      <c r="G17" s="123">
        <f>BS!G28</f>
        <v>59800</v>
      </c>
      <c r="H17" s="123">
        <f>BS!H28</f>
        <v>59800</v>
      </c>
      <c r="I17" s="123">
        <f>BS!I28</f>
        <v>59800</v>
      </c>
      <c r="J17" s="123">
        <f>BS!J28</f>
        <v>59800</v>
      </c>
      <c r="K17" s="123">
        <f>BS!K28</f>
        <v>59800</v>
      </c>
      <c r="L17" s="123">
        <f>BS!L28</f>
        <v>59800</v>
      </c>
      <c r="M17" s="123">
        <f>BS!M28</f>
        <v>59800</v>
      </c>
      <c r="N17" s="123">
        <f>BS!N28</f>
        <v>59800</v>
      </c>
      <c r="O17" s="123">
        <f>BS!O28</f>
        <v>59800</v>
      </c>
    </row>
    <row r="18" spans="1:15" ht="15" customHeight="1" x14ac:dyDescent="0.2">
      <c r="B18" s="246" t="s">
        <v>297</v>
      </c>
      <c r="C18" s="123">
        <f>BS!C29</f>
        <v>0</v>
      </c>
      <c r="D18" s="123">
        <f>BS!D29</f>
        <v>3950.6178333400003</v>
      </c>
      <c r="E18" s="123">
        <f>BS!E29</f>
        <v>3955.7263333400001</v>
      </c>
      <c r="F18" s="123">
        <f>BS!F29</f>
        <v>23955.726333340001</v>
      </c>
      <c r="G18" s="123">
        <f>BS!G29</f>
        <v>20955.726333340001</v>
      </c>
      <c r="H18" s="123">
        <f>BS!H29</f>
        <v>18955.726333340001</v>
      </c>
      <c r="I18" s="123">
        <f>BS!I29</f>
        <v>18955.726333340001</v>
      </c>
      <c r="J18" s="123">
        <f>BS!J29</f>
        <v>18955.726333340001</v>
      </c>
      <c r="K18" s="123">
        <f>BS!K29</f>
        <v>18955.726333340001</v>
      </c>
      <c r="L18" s="123">
        <f>BS!L29</f>
        <v>18955.726333340001</v>
      </c>
      <c r="M18" s="123">
        <f>BS!M29</f>
        <v>15955.726333340001</v>
      </c>
      <c r="N18" s="123">
        <f>BS!N29</f>
        <v>12000</v>
      </c>
      <c r="O18" s="123">
        <f>BS!O29</f>
        <v>12000</v>
      </c>
    </row>
    <row r="19" spans="1:15" ht="15" customHeight="1" x14ac:dyDescent="0.2">
      <c r="B19" s="246" t="s">
        <v>298</v>
      </c>
      <c r="C19" s="123">
        <f>SUM(C15:C18)</f>
        <v>14311.439611670001</v>
      </c>
      <c r="D19" s="123">
        <f>SUM(D15:D18)</f>
        <v>18933.105849339998</v>
      </c>
      <c r="E19" s="123">
        <f>SUM(E15:E18)</f>
        <v>16417.208806630002</v>
      </c>
      <c r="F19" s="123">
        <f t="shared" ref="F19:O19" ca="1" si="1">SUM(F15:F18)</f>
        <v>95917.208806630006</v>
      </c>
      <c r="G19" s="123">
        <f t="shared" ca="1" si="1"/>
        <v>86417.208806630006</v>
      </c>
      <c r="H19" s="123">
        <f t="shared" ca="1" si="1"/>
        <v>84417.208806630006</v>
      </c>
      <c r="I19" s="123">
        <f t="shared" ca="1" si="1"/>
        <v>84417.208806630006</v>
      </c>
      <c r="J19" s="123">
        <f t="shared" ca="1" si="1"/>
        <v>84417.208806630006</v>
      </c>
      <c r="K19" s="123">
        <f t="shared" ca="1" si="1"/>
        <v>84417.208806630006</v>
      </c>
      <c r="L19" s="123">
        <f t="shared" ca="1" si="1"/>
        <v>84417.208806630006</v>
      </c>
      <c r="M19" s="123">
        <f t="shared" ca="1" si="1"/>
        <v>81417.208806630006</v>
      </c>
      <c r="N19" s="123">
        <f t="shared" ca="1" si="1"/>
        <v>77461.482473290002</v>
      </c>
      <c r="O19" s="123">
        <f t="shared" ca="1" si="1"/>
        <v>77461.482473290002</v>
      </c>
    </row>
    <row r="20" spans="1:15" ht="15" customHeight="1" x14ac:dyDescent="0.2">
      <c r="B20" s="246" t="s">
        <v>299</v>
      </c>
      <c r="C20" s="123">
        <f>BS!C34</f>
        <v>28921.838448510003</v>
      </c>
      <c r="D20" s="123">
        <f>BS!D34</f>
        <v>41253.23055031</v>
      </c>
      <c r="E20" s="123">
        <f>BS!E34</f>
        <v>37567.0885653</v>
      </c>
      <c r="F20" s="123">
        <f ca="1">BS!F34</f>
        <v>60754.832248374121</v>
      </c>
      <c r="G20" s="123">
        <f ca="1">BS!G34</f>
        <v>65317.201317546307</v>
      </c>
      <c r="H20" s="123">
        <f ca="1">BS!H34</f>
        <v>69421.655568525632</v>
      </c>
      <c r="I20" s="123">
        <f ca="1">BS!I34</f>
        <v>73699.075679330286</v>
      </c>
      <c r="J20" s="123">
        <f ca="1">BS!J34</f>
        <v>78181.081798242871</v>
      </c>
      <c r="K20" s="123">
        <f ca="1">BS!K34</f>
        <v>82880.724828756371</v>
      </c>
      <c r="L20" s="123">
        <f ca="1">BS!L34</f>
        <v>87796.854094756301</v>
      </c>
      <c r="M20" s="123">
        <f ca="1">BS!M34</f>
        <v>92980.84580625908</v>
      </c>
      <c r="N20" s="123">
        <f ca="1">BS!N34</f>
        <v>98458.824425502724</v>
      </c>
      <c r="O20" s="123">
        <f ca="1">BS!O34</f>
        <v>104160.73329453071</v>
      </c>
    </row>
    <row r="21" spans="1:15" ht="15" customHeight="1" x14ac:dyDescent="0.2">
      <c r="B21" s="246" t="s">
        <v>300</v>
      </c>
      <c r="C21" s="123">
        <f>C19+C20</f>
        <v>43233.278060180004</v>
      </c>
      <c r="D21" s="123">
        <f>D19+D20</f>
        <v>60186.336399649997</v>
      </c>
      <c r="E21" s="123">
        <f>E19+E20</f>
        <v>53984.297371930006</v>
      </c>
      <c r="F21" s="123">
        <f t="shared" ref="F21:O21" ca="1" si="2">F19+F20</f>
        <v>156672.04105500411</v>
      </c>
      <c r="G21" s="123">
        <f t="shared" ca="1" si="2"/>
        <v>151734.4101241763</v>
      </c>
      <c r="H21" s="123">
        <f t="shared" ca="1" si="2"/>
        <v>153838.86437515565</v>
      </c>
      <c r="I21" s="123">
        <f t="shared" ca="1" si="2"/>
        <v>158116.28448596029</v>
      </c>
      <c r="J21" s="123">
        <f t="shared" ca="1" si="2"/>
        <v>162598.29060487286</v>
      </c>
      <c r="K21" s="123">
        <f t="shared" ca="1" si="2"/>
        <v>167297.93363538638</v>
      </c>
      <c r="L21" s="123">
        <f t="shared" ca="1" si="2"/>
        <v>172214.06290138629</v>
      </c>
      <c r="M21" s="123">
        <f t="shared" ca="1" si="2"/>
        <v>174398.05461288907</v>
      </c>
      <c r="N21" s="123">
        <f t="shared" ca="1" si="2"/>
        <v>175920.30689879274</v>
      </c>
      <c r="O21" s="123">
        <f t="shared" ca="1" si="2"/>
        <v>181622.21576782071</v>
      </c>
    </row>
    <row r="22" spans="1:15" ht="15" customHeight="1" x14ac:dyDescent="0.2">
      <c r="B22" s="246" t="s">
        <v>301</v>
      </c>
      <c r="C22" s="123">
        <f>C21-SUM(BS!C11,BS!C16)</f>
        <v>32767.783965390005</v>
      </c>
      <c r="D22" s="123">
        <f>D21-SUM(BS!D11,BS!D16)</f>
        <v>42584.924781809998</v>
      </c>
      <c r="E22" s="123">
        <f>E21-SUM(BS!E11,BS!E16)</f>
        <v>40465.393783940002</v>
      </c>
      <c r="F22" s="123">
        <f ca="1">F21-SUM(BS!F11,BS!F16)</f>
        <v>144515.48354021562</v>
      </c>
      <c r="G22" s="123">
        <f ca="1">G21-SUM(BS!G11,BS!G16)</f>
        <v>139082.74230898332</v>
      </c>
      <c r="H22" s="123">
        <f ca="1">H21-SUM(BS!H11,BS!H16)</f>
        <v>133689.84833329538</v>
      </c>
      <c r="I22" s="123">
        <f ca="1">I21-SUM(BS!I11,BS!I16)</f>
        <v>128415.18795994039</v>
      </c>
      <c r="J22" s="123">
        <f ca="1">J21-SUM(BS!J11,BS!J16)</f>
        <v>123249.40713917589</v>
      </c>
      <c r="K22" s="123">
        <f ca="1">K21-SUM(BS!K11,BS!K16)</f>
        <v>118183.60383549528</v>
      </c>
      <c r="L22" s="123">
        <f ca="1">L21-SUM(BS!L11,BS!L16)</f>
        <v>113209.29845852594</v>
      </c>
      <c r="M22" s="123">
        <f ca="1">M21-SUM(BS!M11,BS!M16)</f>
        <v>108318.77012206345</v>
      </c>
      <c r="N22" s="123">
        <f ca="1">N21-SUM(BS!N11,BS!N16)</f>
        <v>103503.94051241266</v>
      </c>
      <c r="O22" s="123">
        <f ca="1">O21-SUM(BS!O11,BS!O16)</f>
        <v>98757.441351113011</v>
      </c>
    </row>
    <row r="23" spans="1:15" ht="15" customHeight="1" x14ac:dyDescent="0.2">
      <c r="B23" s="246" t="s">
        <v>302</v>
      </c>
      <c r="C23" s="123">
        <f>BS!C19</f>
        <v>45386.886120160001</v>
      </c>
      <c r="D23" s="123">
        <f>BS!D19</f>
        <v>62058.013635689997</v>
      </c>
      <c r="E23" s="123">
        <f>BS!E19</f>
        <v>56892.31344631</v>
      </c>
      <c r="F23" s="123">
        <f ca="1">BS!F19</f>
        <v>159400.55637247607</v>
      </c>
      <c r="G23" s="123">
        <f ca="1">BS!G19</f>
        <v>154594.81251348226</v>
      </c>
      <c r="H23" s="123">
        <f ca="1">BS!H19</f>
        <v>156765.53023019159</v>
      </c>
      <c r="I23" s="123">
        <f ca="1">BS!I19</f>
        <v>161109.21380672621</v>
      </c>
      <c r="J23" s="123">
        <f ca="1">BS!J19</f>
        <v>165657.48339136882</v>
      </c>
      <c r="K23" s="123">
        <f ca="1">BS!K19</f>
        <v>170423.38988761234</v>
      </c>
      <c r="L23" s="123">
        <f ca="1">BS!L19</f>
        <v>175405.78261934227</v>
      </c>
      <c r="M23" s="123">
        <f ca="1">BS!M19</f>
        <v>177658.11020060105</v>
      </c>
      <c r="N23" s="123">
        <f ca="1">BS!N19</f>
        <v>179248.69835626069</v>
      </c>
      <c r="O23" s="123">
        <f ca="1">BS!O19</f>
        <v>185018.9430950447</v>
      </c>
    </row>
    <row r="24" spans="1:15" ht="15" customHeight="1" x14ac:dyDescent="0.2">
      <c r="B24" s="246" t="s">
        <v>303</v>
      </c>
      <c r="C24" s="123"/>
      <c r="D24" s="123"/>
      <c r="E24" s="123"/>
      <c r="F24" s="123">
        <f ca="1">CFS!F18</f>
        <v>11677.891015209692</v>
      </c>
      <c r="G24" s="123">
        <f ca="1">CFS!G18</f>
        <v>18005.991189664441</v>
      </c>
      <c r="H24" s="123">
        <f ca="1">CFS!H18</f>
        <v>18346.897310060973</v>
      </c>
      <c r="I24" s="123">
        <f ca="1">CFS!I18</f>
        <v>18637.053109071221</v>
      </c>
      <c r="J24" s="123">
        <f ca="1">CFS!J18</f>
        <v>18934.886001843235</v>
      </c>
      <c r="K24" s="123">
        <f ca="1">CFS!K18</f>
        <v>19230.989773901591</v>
      </c>
      <c r="L24" s="123">
        <f ca="1">CFS!L18</f>
        <v>19525.097380923773</v>
      </c>
      <c r="M24" s="123">
        <f ca="1">CFS!M18</f>
        <v>19814.213768036498</v>
      </c>
      <c r="N24" s="123">
        <f ca="1">CFS!N18</f>
        <v>20082.982197098332</v>
      </c>
      <c r="O24" s="123">
        <f ca="1">CFS!O18</f>
        <v>20362.467723070498</v>
      </c>
    </row>
    <row r="25" spans="1:15" ht="15" customHeight="1" x14ac:dyDescent="0.2">
      <c r="B25" s="246" t="s">
        <v>304</v>
      </c>
      <c r="C25" s="123"/>
      <c r="D25" s="123"/>
      <c r="E25" s="123"/>
      <c r="F25" s="123">
        <f>CFS!F24+CFS!F25</f>
        <v>-107653.75719563593</v>
      </c>
      <c r="G25" s="123">
        <f>CFS!G24+CFS!G25</f>
        <v>-617.18210738035339</v>
      </c>
      <c r="H25" s="123">
        <f>CFS!H24+CFS!H25</f>
        <v>-690.93609201304139</v>
      </c>
      <c r="I25" s="123">
        <f>CFS!I24+CFS!I25</f>
        <v>-757.66164916971059</v>
      </c>
      <c r="J25" s="123">
        <f>CFS!J24+CFS!J25</f>
        <v>-817.56574973835086</v>
      </c>
      <c r="K25" s="123">
        <f>CFS!K24+CFS!K25</f>
        <v>-870.83120593566377</v>
      </c>
      <c r="L25" s="123">
        <f>CFS!L24+CFS!L25</f>
        <v>-917.61811914868804</v>
      </c>
      <c r="M25" s="123">
        <f>CFS!M24+CFS!M25</f>
        <v>-958.06521360417048</v>
      </c>
      <c r="N25" s="123">
        <f>CFS!N24+CFS!N25</f>
        <v>-992.29106600811633</v>
      </c>
      <c r="O25" s="123">
        <f>CFS!O24+CFS!O25</f>
        <v>-1020.3952404892162</v>
      </c>
    </row>
    <row r="26" spans="1:15" ht="15" customHeight="1" x14ac:dyDescent="0.2">
      <c r="B26" s="246"/>
      <c r="C26" s="123"/>
      <c r="D26" s="123"/>
      <c r="E26" s="123"/>
      <c r="F26" s="123"/>
      <c r="G26" s="123"/>
      <c r="H26" s="123"/>
      <c r="I26" s="123"/>
      <c r="J26" s="123"/>
      <c r="K26" s="123"/>
      <c r="L26" s="123"/>
      <c r="M26" s="123"/>
      <c r="N26" s="123"/>
      <c r="O26" s="123"/>
    </row>
    <row r="27" spans="1:15" ht="15" customHeight="1" x14ac:dyDescent="0.2">
      <c r="A27" s="33" t="s">
        <v>99</v>
      </c>
      <c r="B27" s="234"/>
      <c r="C27" s="123"/>
      <c r="D27" s="123"/>
      <c r="E27" s="123"/>
      <c r="F27" s="123"/>
      <c r="G27" s="123"/>
      <c r="H27" s="123"/>
      <c r="I27" s="123"/>
      <c r="J27" s="123"/>
      <c r="K27" s="123"/>
      <c r="L27" s="123"/>
      <c r="M27" s="123"/>
      <c r="N27" s="123"/>
      <c r="O27" s="123"/>
    </row>
    <row r="28" spans="1:15" ht="15" customHeight="1" x14ac:dyDescent="0.2">
      <c r="A28" s="141"/>
      <c r="B28" s="234" t="s">
        <v>305</v>
      </c>
      <c r="C28" s="143"/>
      <c r="D28" s="143">
        <f>D8/C8-1</f>
        <v>0.23584069566430665</v>
      </c>
      <c r="E28" s="143">
        <f t="shared" ref="E28:O28" si="3">E8/D8-1</f>
        <v>5.7953937155397206E-3</v>
      </c>
      <c r="F28" s="143">
        <f t="shared" si="3"/>
        <v>0.70019960521536628</v>
      </c>
      <c r="G28" s="143">
        <f t="shared" si="3"/>
        <v>0.45737418294237386</v>
      </c>
      <c r="H28" s="143">
        <f t="shared" si="3"/>
        <v>2.3165784638460529E-2</v>
      </c>
      <c r="I28" s="143">
        <f t="shared" si="3"/>
        <v>2.2641281585315864E-2</v>
      </c>
      <c r="J28" s="143">
        <f t="shared" si="3"/>
        <v>2.2140003531069485E-2</v>
      </c>
      <c r="K28" s="143">
        <f t="shared" si="3"/>
        <v>2.1660441284544918E-2</v>
      </c>
      <c r="L28" s="143">
        <f t="shared" si="3"/>
        <v>2.1201213641306227E-2</v>
      </c>
      <c r="M28" s="143">
        <f t="shared" si="3"/>
        <v>2.1410360493609559E-2</v>
      </c>
      <c r="N28" s="143">
        <f t="shared" si="3"/>
        <v>2.096156581304176E-2</v>
      </c>
      <c r="O28" s="143">
        <f t="shared" si="3"/>
        <v>2.0531199718913262E-2</v>
      </c>
    </row>
    <row r="29" spans="1:15" ht="15" customHeight="1" x14ac:dyDescent="0.2">
      <c r="A29" s="141"/>
      <c r="B29" s="234" t="s">
        <v>306</v>
      </c>
      <c r="C29" s="143"/>
      <c r="D29" s="143">
        <f>D9/C9-1</f>
        <v>0.24235477745794776</v>
      </c>
      <c r="E29" s="143">
        <f t="shared" ref="E29:O29" si="4">E9/D9-1</f>
        <v>-6.7345445436763574E-2</v>
      </c>
      <c r="F29" s="143">
        <f t="shared" si="4"/>
        <v>0.83070884048146953</v>
      </c>
      <c r="G29" s="143">
        <f t="shared" si="4"/>
        <v>0.47904432703351763</v>
      </c>
      <c r="H29" s="143">
        <f t="shared" si="4"/>
        <v>2.218772752228193E-2</v>
      </c>
      <c r="I29" s="143">
        <f t="shared" si="4"/>
        <v>2.1598122893795368E-2</v>
      </c>
      <c r="J29" s="143">
        <f t="shared" si="4"/>
        <v>2.1027337073207253E-2</v>
      </c>
      <c r="K29" s="143">
        <f t="shared" si="4"/>
        <v>2.0473530748296165E-2</v>
      </c>
      <c r="L29" s="143">
        <f t="shared" si="4"/>
        <v>1.9934967362814859E-2</v>
      </c>
      <c r="M29" s="143">
        <f t="shared" si="4"/>
        <v>2.0074189567328204E-2</v>
      </c>
      <c r="N29" s="143">
        <f t="shared" si="4"/>
        <v>1.9535861963606127E-2</v>
      </c>
      <c r="O29" s="143">
        <f t="shared" si="4"/>
        <v>1.9009742794333429E-2</v>
      </c>
    </row>
    <row r="30" spans="1:15" ht="15" customHeight="1" x14ac:dyDescent="0.2">
      <c r="A30" s="141"/>
      <c r="B30" s="234" t="s">
        <v>307</v>
      </c>
      <c r="C30" s="143"/>
      <c r="D30" s="143">
        <f>D10/C10-1</f>
        <v>0.22371096793686984</v>
      </c>
      <c r="E30" s="143">
        <f t="shared" ref="E30:O30" si="5">E10/D10-1</f>
        <v>-0.11253398887682453</v>
      </c>
      <c r="F30" s="143">
        <f t="shared" si="5"/>
        <v>0.73350315716988468</v>
      </c>
      <c r="G30" s="143">
        <f t="shared" si="5"/>
        <v>0.4650189048142237</v>
      </c>
      <c r="H30" s="143">
        <f t="shared" si="5"/>
        <v>3.5450497813734438E-2</v>
      </c>
      <c r="I30" s="143">
        <f t="shared" si="5"/>
        <v>3.3895947922485403E-2</v>
      </c>
      <c r="J30" s="143">
        <f t="shared" si="5"/>
        <v>3.2461228016897881E-2</v>
      </c>
      <c r="K30" s="143">
        <f t="shared" si="5"/>
        <v>3.1131958324166931E-2</v>
      </c>
      <c r="L30" s="143">
        <f t="shared" si="5"/>
        <v>2.9895773357239808E-2</v>
      </c>
      <c r="M30" s="143">
        <f t="shared" si="5"/>
        <v>2.9638404910281357E-2</v>
      </c>
      <c r="N30" s="143">
        <f t="shared" si="5"/>
        <v>2.8507753784890566E-2</v>
      </c>
      <c r="O30" s="143">
        <f t="shared" si="5"/>
        <v>2.7446681832803188E-2</v>
      </c>
    </row>
    <row r="31" spans="1:15" ht="15" customHeight="1" x14ac:dyDescent="0.2">
      <c r="A31" s="141"/>
      <c r="B31" s="234" t="s">
        <v>308</v>
      </c>
      <c r="C31" s="143"/>
      <c r="D31" s="143">
        <f>D13/C13-1</f>
        <v>0.48606717498243923</v>
      </c>
      <c r="E31" s="143">
        <f t="shared" ref="E31:O31" si="6">E13/D13-1</f>
        <v>-0.26842517651164022</v>
      </c>
      <c r="F31" s="143">
        <f t="shared" ca="1" si="6"/>
        <v>0.33105368517687239</v>
      </c>
      <c r="G31" s="143">
        <f t="shared" ca="1" si="6"/>
        <v>0.39208948521577924</v>
      </c>
      <c r="H31" s="143">
        <f t="shared" ca="1" si="6"/>
        <v>8.3584320543821367E-2</v>
      </c>
      <c r="I31" s="143">
        <f t="shared" ca="1" si="6"/>
        <v>6.2029192901927654E-2</v>
      </c>
      <c r="J31" s="143">
        <f t="shared" ca="1" si="6"/>
        <v>5.4781975270967287E-2</v>
      </c>
      <c r="K31" s="143">
        <f t="shared" ca="1" si="6"/>
        <v>5.1626336838609621E-2</v>
      </c>
      <c r="L31" s="143">
        <f t="shared" ca="1" si="6"/>
        <v>4.8814623106581134E-2</v>
      </c>
      <c r="M31" s="143">
        <f t="shared" ca="1" si="6"/>
        <v>5.1674372052681328E-2</v>
      </c>
      <c r="N31" s="143">
        <f t="shared" ca="1" si="6"/>
        <v>5.4220402636882437E-2</v>
      </c>
      <c r="O31" s="143">
        <f t="shared" ca="1" si="6"/>
        <v>4.7459346522914947E-2</v>
      </c>
    </row>
    <row r="32" spans="1:15" ht="15" customHeight="1" x14ac:dyDescent="0.2">
      <c r="A32" s="141"/>
      <c r="B32" s="234"/>
      <c r="C32" s="123"/>
      <c r="D32" s="123"/>
      <c r="E32" s="123"/>
      <c r="F32" s="123"/>
      <c r="G32" s="123"/>
      <c r="H32" s="123"/>
      <c r="I32" s="123"/>
      <c r="J32" s="123"/>
      <c r="K32" s="123"/>
      <c r="L32" s="123"/>
      <c r="M32" s="123"/>
      <c r="N32" s="123"/>
      <c r="O32" s="123"/>
    </row>
    <row r="33" spans="1:15" ht="15" customHeight="1" x14ac:dyDescent="0.2">
      <c r="A33" s="33" t="s">
        <v>100</v>
      </c>
      <c r="B33" s="234"/>
      <c r="C33" s="123"/>
      <c r="D33" s="123"/>
      <c r="E33" s="123"/>
      <c r="F33" s="123"/>
      <c r="G33" s="123"/>
      <c r="H33" s="123"/>
      <c r="I33" s="123"/>
      <c r="J33" s="123"/>
      <c r="K33" s="123"/>
      <c r="L33" s="123"/>
      <c r="M33" s="123"/>
      <c r="N33" s="123"/>
      <c r="O33" s="123"/>
    </row>
    <row r="34" spans="1:15" ht="15" customHeight="1" x14ac:dyDescent="0.2">
      <c r="A34" s="141"/>
      <c r="B34" s="234" t="s">
        <v>309</v>
      </c>
      <c r="C34" s="143">
        <f>(IS!C26-IS!C30-IS!C32-IS!C37)/IS!C26</f>
        <v>0.71320602838633096</v>
      </c>
      <c r="D34" s="143">
        <f>(IS!D26-IS!D30-IS!D32-IS!D37)/IS!D26</f>
        <v>0.70627186778506923</v>
      </c>
      <c r="E34" s="143">
        <f>(IS!E26-IS!E30-IS!E32-IS!E37)/IS!E26</f>
        <v>0.62740770370517152</v>
      </c>
      <c r="F34" s="143">
        <f>(IS!F26-IS!F30-IS!F32-IS!F37)/IS!F26</f>
        <v>0.62688147828544893</v>
      </c>
      <c r="G34" s="143">
        <f>(IS!G26-IS!G30-IS!G32-IS!G37)/IS!G26</f>
        <v>0.62454860293980274</v>
      </c>
      <c r="H34" s="143">
        <f>(IS!H26-IS!H30-IS!H32-IS!H37)/IS!H26</f>
        <v>0.63267963464794508</v>
      </c>
      <c r="I34" s="143">
        <f>(IS!I26-IS!I30-IS!I32-IS!I37)/IS!I26</f>
        <v>0.64033694160092314</v>
      </c>
      <c r="J34" s="143">
        <f>(IS!J26-IS!J30-IS!J32-IS!J37)/IS!J26</f>
        <v>0.64756227226458407</v>
      </c>
      <c r="K34" s="143">
        <f>(IS!K26-IS!K30-IS!K32-IS!K37)/IS!K26</f>
        <v>0.654393532576515</v>
      </c>
      <c r="L34" s="143">
        <f>(IS!L26-IS!L30-IS!L32-IS!L37)/IS!L26</f>
        <v>0.66086522038738205</v>
      </c>
      <c r="M34" s="143">
        <f>(IS!M26-IS!M30-IS!M32-IS!M37)/IS!M26</f>
        <v>0.66714700184635334</v>
      </c>
      <c r="N34" s="143">
        <f>(IS!N26-IS!N30-IS!N32-IS!N37)/IS!N26</f>
        <v>0.67311649995165268</v>
      </c>
      <c r="O34" s="143">
        <f>(IS!O26-IS!O30-IS!O32-IS!O37)/IS!O26</f>
        <v>0.67880136344671949</v>
      </c>
    </row>
    <row r="35" spans="1:15" ht="15" customHeight="1" x14ac:dyDescent="0.2">
      <c r="A35" s="141"/>
      <c r="B35" s="234" t="s">
        <v>310</v>
      </c>
      <c r="C35" s="143">
        <f>C9/C8</f>
        <v>0.85341059536190123</v>
      </c>
      <c r="D35" s="143">
        <f t="shared" ref="D35:O35" si="7">D9/D8</f>
        <v>0.85790889877693732</v>
      </c>
      <c r="E35" s="143">
        <f t="shared" si="7"/>
        <v>0.79552227703971345</v>
      </c>
      <c r="F35" s="143">
        <f t="shared" si="7"/>
        <v>0.8565874623833194</v>
      </c>
      <c r="G35" s="143">
        <f t="shared" si="7"/>
        <v>0.86932432430510598</v>
      </c>
      <c r="H35" s="143">
        <f t="shared" si="7"/>
        <v>0.8684933261868939</v>
      </c>
      <c r="I35" s="143">
        <f t="shared" si="7"/>
        <v>0.86760740814500259</v>
      </c>
      <c r="J35" s="143">
        <f t="shared" si="7"/>
        <v>0.86666296055631531</v>
      </c>
      <c r="K35" s="143">
        <f t="shared" si="7"/>
        <v>0.86565611781513252</v>
      </c>
      <c r="L35" s="143">
        <f t="shared" si="7"/>
        <v>0.86458274087139764</v>
      </c>
      <c r="M35" s="143">
        <f t="shared" si="7"/>
        <v>0.86345172598609843</v>
      </c>
      <c r="N35" s="143">
        <f t="shared" si="7"/>
        <v>0.86224597398645286</v>
      </c>
      <c r="O35" s="143">
        <f t="shared" si="7"/>
        <v>0.86096049627820248</v>
      </c>
    </row>
    <row r="36" spans="1:15" ht="15" customHeight="1" x14ac:dyDescent="0.2">
      <c r="A36" s="141"/>
      <c r="B36" s="234" t="s">
        <v>311</v>
      </c>
      <c r="C36" s="143">
        <f>C10/C8</f>
        <v>0.68003975420661245</v>
      </c>
      <c r="D36" s="143">
        <f t="shared" ref="D36:O36" si="8">D10/D8</f>
        <v>0.67336519081725477</v>
      </c>
      <c r="E36" s="143">
        <f t="shared" si="8"/>
        <v>0.59414541332925985</v>
      </c>
      <c r="F36" s="143">
        <f t="shared" si="8"/>
        <v>0.60578354839331516</v>
      </c>
      <c r="G36" s="143">
        <f t="shared" si="8"/>
        <v>0.60896121326223662</v>
      </c>
      <c r="H36" s="143">
        <f t="shared" si="8"/>
        <v>0.6162727496252679</v>
      </c>
      <c r="I36" s="143">
        <f t="shared" si="8"/>
        <v>0.62305513196658135</v>
      </c>
      <c r="J36" s="143">
        <f t="shared" si="8"/>
        <v>0.62934653222668202</v>
      </c>
      <c r="K36" s="143">
        <f t="shared" si="8"/>
        <v>0.63518102102837948</v>
      </c>
      <c r="L36" s="143">
        <f t="shared" si="8"/>
        <v>0.64058898494771987</v>
      </c>
      <c r="M36" s="143">
        <f t="shared" si="8"/>
        <v>0.64574929546036564</v>
      </c>
      <c r="N36" s="143">
        <f t="shared" si="8"/>
        <v>0.65052219360795871</v>
      </c>
      <c r="O36" s="143">
        <f t="shared" si="8"/>
        <v>0.65493036319240983</v>
      </c>
    </row>
    <row r="37" spans="1:15" ht="15" customHeight="1" x14ac:dyDescent="0.2">
      <c r="A37" s="141"/>
      <c r="B37" s="234" t="s">
        <v>312</v>
      </c>
      <c r="C37" s="143">
        <f>C13/C8</f>
        <v>0.4714113317272316</v>
      </c>
      <c r="D37" s="143">
        <f t="shared" ref="D37:O37" si="9">D13/D8</f>
        <v>0.56686020168483575</v>
      </c>
      <c r="E37" s="143">
        <f t="shared" si="9"/>
        <v>0.41231114656252427</v>
      </c>
      <c r="F37" s="143">
        <f t="shared" ca="1" si="9"/>
        <v>0.32279049435612078</v>
      </c>
      <c r="G37" s="143">
        <f t="shared" ca="1" si="9"/>
        <v>0.30833073508516168</v>
      </c>
      <c r="H37" s="143">
        <f t="shared" ca="1" si="9"/>
        <v>0.32653784469355401</v>
      </c>
      <c r="I37" s="143">
        <f t="shared" ca="1" si="9"/>
        <v>0.3391147315256296</v>
      </c>
      <c r="J37" s="143">
        <f t="shared" ca="1" si="9"/>
        <v>0.34994433749428616</v>
      </c>
      <c r="K37" s="143">
        <f t="shared" ca="1" si="9"/>
        <v>0.36020840865075127</v>
      </c>
      <c r="L37" s="143">
        <f t="shared" ca="1" si="9"/>
        <v>0.36994848939883579</v>
      </c>
      <c r="M37" s="143">
        <f t="shared" ca="1" si="9"/>
        <v>0.38090992643969057</v>
      </c>
      <c r="N37" s="143">
        <f t="shared" ca="1" si="9"/>
        <v>0.3933184455380076</v>
      </c>
      <c r="O37" s="143">
        <f t="shared" ca="1" si="9"/>
        <v>0.40369670427726656</v>
      </c>
    </row>
    <row r="38" spans="1:15" ht="15" customHeight="1" x14ac:dyDescent="0.2">
      <c r="A38" s="141"/>
      <c r="B38" s="234"/>
      <c r="C38" s="123"/>
      <c r="D38" s="123"/>
      <c r="E38" s="123"/>
      <c r="F38" s="123"/>
      <c r="G38" s="123"/>
      <c r="H38" s="123"/>
      <c r="I38" s="123"/>
      <c r="J38" s="123"/>
      <c r="K38" s="123"/>
      <c r="L38" s="123"/>
      <c r="M38" s="123"/>
      <c r="N38" s="123"/>
      <c r="O38" s="123"/>
    </row>
    <row r="39" spans="1:15" ht="15" customHeight="1" x14ac:dyDescent="0.2">
      <c r="A39" s="141"/>
      <c r="B39" s="234" t="s">
        <v>313</v>
      </c>
      <c r="C39" s="143"/>
      <c r="D39" s="143">
        <f>D13/AVERAGE(C20:D20)</f>
        <v>0.15311656866430262</v>
      </c>
      <c r="E39" s="143">
        <f t="shared" ref="E39:O39" si="10">E13/AVERAGE(D20:E20)</f>
        <v>9.9729949401628548E-2</v>
      </c>
      <c r="F39" s="143">
        <f t="shared" ca="1" si="10"/>
        <v>0.10641650841352868</v>
      </c>
      <c r="G39" s="143">
        <f t="shared" ca="1" si="10"/>
        <v>0.11553345332333136</v>
      </c>
      <c r="H39" s="143">
        <f t="shared" ca="1" si="10"/>
        <v>0.11713761210022809</v>
      </c>
      <c r="I39" s="143">
        <f t="shared" ca="1" si="10"/>
        <v>0.11711786133911196</v>
      </c>
      <c r="J39" s="143">
        <f t="shared" ca="1" si="10"/>
        <v>0.11640920966319113</v>
      </c>
      <c r="K39" s="143">
        <f t="shared" ca="1" si="10"/>
        <v>0.11544025228612173</v>
      </c>
      <c r="L39" s="143">
        <f t="shared" ca="1" si="10"/>
        <v>0.11425417891527592</v>
      </c>
      <c r="M39" s="143">
        <f t="shared" ca="1" si="10"/>
        <v>0.11344490657085732</v>
      </c>
      <c r="N39" s="143">
        <f t="shared" ca="1" si="10"/>
        <v>0.11293520321834609</v>
      </c>
      <c r="O39" s="143">
        <f t="shared" ca="1" si="10"/>
        <v>0.11176789933289347</v>
      </c>
    </row>
    <row r="40" spans="1:15" ht="15" customHeight="1" x14ac:dyDescent="0.2">
      <c r="A40" s="141"/>
      <c r="B40" s="234" t="s">
        <v>314</v>
      </c>
      <c r="C40" s="143"/>
      <c r="D40" s="143">
        <f>D13/AVERAGE(C23:D23)</f>
        <v>0.10000442827250133</v>
      </c>
      <c r="E40" s="143">
        <f t="shared" ref="E40:O40" si="11">E13/AVERAGE(D23:E23)</f>
        <v>6.6084277614479284E-2</v>
      </c>
      <c r="F40" s="143">
        <f t="shared" ca="1" si="11"/>
        <v>4.8374574354988209E-2</v>
      </c>
      <c r="G40" s="143">
        <f t="shared" ca="1" si="11"/>
        <v>4.6387745962762489E-2</v>
      </c>
      <c r="H40" s="143">
        <f t="shared" ca="1" si="11"/>
        <v>5.0690424521218247E-2</v>
      </c>
      <c r="I40" s="143">
        <f t="shared" ca="1" si="11"/>
        <v>5.2731443033712584E-2</v>
      </c>
      <c r="J40" s="143">
        <f t="shared" ca="1" si="11"/>
        <v>5.4106643201669483E-2</v>
      </c>
      <c r="K40" s="143">
        <f t="shared" ca="1" si="11"/>
        <v>5.5323039985215872E-2</v>
      </c>
      <c r="L40" s="143">
        <f t="shared" ca="1" si="11"/>
        <v>5.638803255893915E-2</v>
      </c>
      <c r="M40" s="143">
        <f t="shared" ca="1" si="11"/>
        <v>5.8086679755225121E-2</v>
      </c>
      <c r="N40" s="143">
        <f t="shared" ca="1" si="11"/>
        <v>6.0576815973609199E-2</v>
      </c>
      <c r="O40" s="143">
        <f t="shared" ca="1" si="11"/>
        <v>6.2169569165960135E-2</v>
      </c>
    </row>
    <row r="41" spans="1:15" ht="15" customHeight="1" x14ac:dyDescent="0.2">
      <c r="A41" s="141"/>
      <c r="B41" s="234" t="s">
        <v>315</v>
      </c>
      <c r="C41" s="143"/>
      <c r="D41" s="143">
        <f>D12/AVERAGE(C21:D21)</f>
        <v>8.7326616933563778E-2</v>
      </c>
      <c r="E41" s="143">
        <f t="shared" ref="E41:O41" si="12">E12/AVERAGE(D21:E21)</f>
        <v>7.5207807756487013E-2</v>
      </c>
      <c r="F41" s="143">
        <f t="shared" ca="1" si="12"/>
        <v>6.9910567857220218E-2</v>
      </c>
      <c r="G41" s="143">
        <f t="shared" ca="1" si="12"/>
        <v>6.9957959846254983E-2</v>
      </c>
      <c r="H41" s="143">
        <f t="shared" ca="1" si="12"/>
        <v>7.3109626122673216E-2</v>
      </c>
      <c r="I41" s="143">
        <f t="shared" ca="1" si="12"/>
        <v>7.4041397307927359E-2</v>
      </c>
      <c r="J41" s="143">
        <f t="shared" ca="1" si="12"/>
        <v>7.435699301825574E-2</v>
      </c>
      <c r="K41" s="143">
        <f t="shared" ca="1" si="12"/>
        <v>7.4537945533409103E-2</v>
      </c>
      <c r="L41" s="143">
        <f t="shared" ca="1" si="12"/>
        <v>7.4592113814317018E-2</v>
      </c>
      <c r="M41" s="143">
        <f t="shared" ca="1" si="12"/>
        <v>7.522964815193485E-2</v>
      </c>
      <c r="N41" s="143">
        <f t="shared" ca="1" si="12"/>
        <v>7.6555684040798141E-2</v>
      </c>
      <c r="O41" s="143">
        <f t="shared" ca="1" si="12"/>
        <v>7.706761802468956E-2</v>
      </c>
    </row>
    <row r="42" spans="1:15" ht="15" customHeight="1" x14ac:dyDescent="0.2">
      <c r="A42" s="141"/>
      <c r="B42" s="234" t="s">
        <v>316</v>
      </c>
      <c r="C42" s="143"/>
      <c r="D42" s="143">
        <f>D12/AVERAGE(C22:D22)</f>
        <v>0.11985348908490324</v>
      </c>
      <c r="E42" s="143">
        <f t="shared" ref="E42:O42" si="13">E12/AVERAGE(D22:E22)</f>
        <v>0.10338940565690208</v>
      </c>
      <c r="F42" s="143">
        <f t="shared" ca="1" si="13"/>
        <v>7.9614198263003894E-2</v>
      </c>
      <c r="G42" s="143">
        <f t="shared" ca="1" si="13"/>
        <v>7.6077648452538948E-2</v>
      </c>
      <c r="H42" s="143">
        <f t="shared" ca="1" si="13"/>
        <v>8.1900999653681805E-2</v>
      </c>
      <c r="I42" s="143">
        <f t="shared" ca="1" si="13"/>
        <v>8.8123431147040465E-2</v>
      </c>
      <c r="J42" s="143">
        <f t="shared" ca="1" si="13"/>
        <v>9.475854723025233E-2</v>
      </c>
      <c r="K42" s="143">
        <f t="shared" ca="1" si="13"/>
        <v>0.10184931503288705</v>
      </c>
      <c r="L42" s="143">
        <f t="shared" ca="1" si="13"/>
        <v>0.10944552419683837</v>
      </c>
      <c r="M42" s="143">
        <f t="shared" ca="1" si="13"/>
        <v>0.11770746620449164</v>
      </c>
      <c r="N42" s="143">
        <f t="shared" ca="1" si="13"/>
        <v>0.12660994525680194</v>
      </c>
      <c r="O42" s="143">
        <f t="shared" ca="1" si="13"/>
        <v>0.13623436323127155</v>
      </c>
    </row>
    <row r="43" spans="1:15" ht="15" customHeight="1" x14ac:dyDescent="0.2">
      <c r="A43" s="141"/>
      <c r="B43" s="234" t="s">
        <v>317</v>
      </c>
      <c r="C43" s="143"/>
      <c r="D43" s="143">
        <f>(D12-C12)/(D21-C21)</f>
        <v>5.9619188302812043E-2</v>
      </c>
      <c r="E43" s="143">
        <f t="shared" ref="E43:O43" si="14">(E12-D12)/(E21-D21)</f>
        <v>3.5856109356398214E-2</v>
      </c>
      <c r="F43" s="143">
        <f t="shared" ca="1" si="14"/>
        <v>2.9899289563573288E-2</v>
      </c>
      <c r="G43" s="143">
        <f t="shared" ca="1" si="14"/>
        <v>-0.69348863672777727</v>
      </c>
      <c r="H43" s="143">
        <f t="shared" ca="1" si="14"/>
        <v>0.18172448354534437</v>
      </c>
      <c r="I43" s="143">
        <f t="shared" ca="1" si="14"/>
        <v>8.8516821791664424E-2</v>
      </c>
      <c r="J43" s="143">
        <f t="shared" ca="1" si="14"/>
        <v>8.3642935987818592E-2</v>
      </c>
      <c r="K43" s="143">
        <f t="shared" ca="1" si="14"/>
        <v>7.8986357942030933E-2</v>
      </c>
      <c r="L43" s="143">
        <f t="shared" ca="1" si="14"/>
        <v>7.4767225709805707E-2</v>
      </c>
      <c r="M43" s="143">
        <f t="shared" ca="1" si="14"/>
        <v>0.1718390584647882</v>
      </c>
      <c r="N43" s="143">
        <f t="shared" ca="1" si="14"/>
        <v>0.24416259994022571</v>
      </c>
      <c r="O43" s="143">
        <f t="shared" ca="1" si="14"/>
        <v>6.4547573784842202E-2</v>
      </c>
    </row>
    <row r="44" spans="1:15" ht="15" customHeight="1" x14ac:dyDescent="0.2">
      <c r="A44" s="141"/>
      <c r="B44" s="234"/>
      <c r="C44" s="123"/>
      <c r="D44" s="123"/>
      <c r="E44" s="123"/>
      <c r="F44" s="123"/>
      <c r="G44" s="123"/>
      <c r="H44" s="123"/>
      <c r="I44" s="123"/>
      <c r="J44" s="123"/>
      <c r="K44" s="123"/>
      <c r="L44" s="123"/>
      <c r="M44" s="123"/>
      <c r="N44" s="123"/>
      <c r="O44" s="123"/>
    </row>
    <row r="45" spans="1:15" ht="15" customHeight="1" x14ac:dyDescent="0.2">
      <c r="A45" s="33" t="s">
        <v>101</v>
      </c>
      <c r="B45" s="234"/>
      <c r="C45" s="123"/>
      <c r="D45" s="123"/>
      <c r="E45" s="123"/>
      <c r="F45" s="123"/>
      <c r="G45" s="123"/>
      <c r="H45" s="123"/>
      <c r="I45" s="123"/>
      <c r="J45" s="123"/>
      <c r="K45" s="123"/>
      <c r="L45" s="123"/>
      <c r="M45" s="123"/>
      <c r="N45" s="123"/>
      <c r="O45" s="123"/>
    </row>
    <row r="46" spans="1:15" ht="15" customHeight="1" x14ac:dyDescent="0.2">
      <c r="A46" s="141"/>
      <c r="B46" s="234" t="s">
        <v>318</v>
      </c>
      <c r="C46" s="123">
        <f>BS!C14/BS!C26</f>
        <v>0.49438598292836866</v>
      </c>
      <c r="D46" s="123">
        <f>BS!D14/BS!D26</f>
        <v>0.48980365638119994</v>
      </c>
      <c r="E46" s="123">
        <f>BS!E14/BS!E26</f>
        <v>0.62073407670584302</v>
      </c>
      <c r="F46" s="123">
        <f ca="1">BS!F14/BS!F26</f>
        <v>0.16371962166699561</v>
      </c>
      <c r="G46" s="123">
        <f ca="1">BS!G14/BS!G26</f>
        <v>0.58268196378202752</v>
      </c>
      <c r="H46" s="123">
        <f ca="1">BS!H14/BS!H26</f>
        <v>1.4602433546887066</v>
      </c>
      <c r="I46" s="123">
        <f ca="1">BS!I14/BS!I26</f>
        <v>2.5617866620231471</v>
      </c>
      <c r="J46" s="123">
        <f ca="1">BS!J14/BS!J26</f>
        <v>3.6575646246593707</v>
      </c>
      <c r="K46" s="123">
        <f ca="1">BS!K14/BS!K26</f>
        <v>4.7502060345900912</v>
      </c>
      <c r="L46" s="123">
        <f ca="1">BS!L14/BS!L26</f>
        <v>5.8406091465534704</v>
      </c>
      <c r="M46" s="123">
        <f ca="1">BS!M14/BS!M26</f>
        <v>6.59784658751488</v>
      </c>
      <c r="N46" s="123">
        <f ca="1">BS!N14/BS!N26</f>
        <v>7.261541992495844</v>
      </c>
      <c r="O46" s="123">
        <f ca="1">BS!O14/BS!O26</f>
        <v>8.3691018936425046</v>
      </c>
    </row>
    <row r="47" spans="1:15" ht="15" customHeight="1" x14ac:dyDescent="0.2">
      <c r="A47" s="141"/>
      <c r="B47" s="234" t="s">
        <v>319</v>
      </c>
      <c r="C47" s="123">
        <f>(BS!C14-BS!C13)/BS!C26</f>
        <v>0.46735747379009213</v>
      </c>
      <c r="D47" s="123">
        <f>(BS!D14-BS!D13)/BS!D26</f>
        <v>0.46963652789891652</v>
      </c>
      <c r="E47" s="123">
        <f>(BS!E14-BS!E13)/BS!E26</f>
        <v>0.59356884089828288</v>
      </c>
      <c r="F47" s="123">
        <f ca="1">(BS!F14-BS!F13)/BS!F26</f>
        <v>0.14869554277652955</v>
      </c>
      <c r="G47" s="123">
        <f ca="1">(BS!G14-BS!G13)/BS!G26</f>
        <v>0.51616149848773429</v>
      </c>
      <c r="H47" s="123">
        <f ca="1">(BS!H14-BS!H13)/BS!H26</f>
        <v>1.3927070315853147</v>
      </c>
      <c r="I47" s="123">
        <f ca="1">(BS!I14-BS!I13)/BS!I26</f>
        <v>2.4932500371670869</v>
      </c>
      <c r="J47" s="123">
        <f ca="1">(BS!J14-BS!J13)/BS!J26</f>
        <v>3.5880428995021196</v>
      </c>
      <c r="K47" s="123">
        <f ca="1">(BS!K14-BS!K13)/BS!K26</f>
        <v>4.6797140666746673</v>
      </c>
      <c r="L47" s="123">
        <f ca="1">(BS!L14-BS!L13)/BS!L26</f>
        <v>5.7691614598106185</v>
      </c>
      <c r="M47" s="123">
        <f ca="1">(BS!M14-BS!M13)/BS!M26</f>
        <v>6.5254281615294856</v>
      </c>
      <c r="N47" s="123">
        <f ca="1">(BS!N14-BS!N13)/BS!N26</f>
        <v>7.1881675852747389</v>
      </c>
      <c r="O47" s="123">
        <f ca="1">(BS!O14-BS!O13)/BS!O26</f>
        <v>8.2947859291857178</v>
      </c>
    </row>
    <row r="48" spans="1:15" ht="15" customHeight="1" x14ac:dyDescent="0.2">
      <c r="A48" s="141"/>
      <c r="B48" s="234" t="s">
        <v>320</v>
      </c>
      <c r="C48" s="123">
        <f>BS!C11/BS!C26</f>
        <v>0.31678009767483439</v>
      </c>
      <c r="D48" s="123">
        <f>BS!D11/BS!D26</f>
        <v>0.27833197811545846</v>
      </c>
      <c r="E48" s="123">
        <f>BS!E11/BS!E26</f>
        <v>0.28829124313134036</v>
      </c>
      <c r="F48" s="123">
        <f ca="1">BS!F11/BS!F26</f>
        <v>4.2802835483976703E-2</v>
      </c>
      <c r="G48" s="123">
        <f ca="1">BS!G11/BS!G26</f>
        <v>0.18813626825211408</v>
      </c>
      <c r="H48" s="123">
        <f ca="1">BS!H11/BS!H26</f>
        <v>1.0596724107773041</v>
      </c>
      <c r="I48" s="123">
        <f ca="1">BS!I11/BS!I26</f>
        <v>2.1552827356979818</v>
      </c>
      <c r="J48" s="123">
        <f ca="1">BS!J11/BS!J26</f>
        <v>3.2452178786578774</v>
      </c>
      <c r="K48" s="123">
        <f ca="1">BS!K11/BS!K26</f>
        <v>4.3321045918623637</v>
      </c>
      <c r="L48" s="123">
        <f ca="1">BS!L11/BS!L26</f>
        <v>5.4168391513309553</v>
      </c>
      <c r="M48" s="123">
        <f ca="1">BS!M11/BS!M26</f>
        <v>6.1683189508216874</v>
      </c>
      <c r="N48" s="123">
        <f ca="1">BS!N11/BS!N26</f>
        <v>6.8263442469137816</v>
      </c>
      <c r="O48" s="123">
        <f ca="1">BS!O11/BS!O26</f>
        <v>7.92831959069468</v>
      </c>
    </row>
    <row r="49" spans="1:15" ht="15" customHeight="1" x14ac:dyDescent="0.2">
      <c r="A49" s="141"/>
      <c r="B49" s="234" t="s">
        <v>321</v>
      </c>
      <c r="C49" s="123">
        <f>C9/C14</f>
        <v>9.2544614666790963</v>
      </c>
      <c r="D49" s="123">
        <f t="shared" ref="D49:O49" si="15">D9/D14</f>
        <v>9.3940039858134199</v>
      </c>
      <c r="E49" s="123">
        <f t="shared" si="15"/>
        <v>8.4094437207829404</v>
      </c>
      <c r="F49" s="123">
        <f t="shared" ca="1" si="15"/>
        <v>4.883728108611062</v>
      </c>
      <c r="G49" s="123">
        <f t="shared" ca="1" si="15"/>
        <v>4.393776365836203</v>
      </c>
      <c r="H49" s="123">
        <f t="shared" ca="1" si="15"/>
        <v>4.8012512318523051</v>
      </c>
      <c r="I49" s="123">
        <f t="shared" ca="1" si="15"/>
        <v>5.0766322989144621</v>
      </c>
      <c r="J49" s="123">
        <f t="shared" ca="1" si="15"/>
        <v>5.3249844714104855</v>
      </c>
      <c r="K49" s="123">
        <f t="shared" ca="1" si="15"/>
        <v>5.5883702681217313</v>
      </c>
      <c r="L49" s="123">
        <f t="shared" ca="1" si="15"/>
        <v>5.8685671721249175</v>
      </c>
      <c r="M49" s="123">
        <f t="shared" ca="1" si="15"/>
        <v>6.2628238495203936</v>
      </c>
      <c r="N49" s="123">
        <f t="shared" ca="1" si="15"/>
        <v>6.8379253610990727</v>
      </c>
      <c r="O49" s="123">
        <f t="shared" ca="1" si="15"/>
        <v>7.3795713138603141</v>
      </c>
    </row>
    <row r="50" spans="1:15" ht="15" customHeight="1" x14ac:dyDescent="0.2">
      <c r="A50" s="141"/>
      <c r="B50" s="234" t="s">
        <v>322</v>
      </c>
      <c r="C50" s="123"/>
      <c r="D50" s="123"/>
      <c r="E50" s="123"/>
      <c r="F50" s="123">
        <f t="shared" ref="F50:O50" ca="1" si="16">F24/F19</f>
        <v>0.12174969601912031</v>
      </c>
      <c r="G50" s="123">
        <f t="shared" ca="1" si="16"/>
        <v>0.20836117526030307</v>
      </c>
      <c r="H50" s="123">
        <f t="shared" ca="1" si="16"/>
        <v>0.21733598598464954</v>
      </c>
      <c r="I50" s="123">
        <f t="shared" ca="1" si="16"/>
        <v>0.22077315007846474</v>
      </c>
      <c r="J50" s="123">
        <f t="shared" ca="1" si="16"/>
        <v>0.22430125645609023</v>
      </c>
      <c r="K50" s="123">
        <f t="shared" ca="1" si="16"/>
        <v>0.22780887979787381</v>
      </c>
      <c r="L50" s="123">
        <f t="shared" ca="1" si="16"/>
        <v>0.23129285671655966</v>
      </c>
      <c r="M50" s="123">
        <f t="shared" ca="1" si="16"/>
        <v>0.24336640936802759</v>
      </c>
      <c r="N50" s="123">
        <f t="shared" ca="1" si="16"/>
        <v>0.25926410850738979</v>
      </c>
      <c r="O50" s="123">
        <f t="shared" ca="1" si="16"/>
        <v>0.26287216656474155</v>
      </c>
    </row>
    <row r="51" spans="1:15" ht="15" customHeight="1" x14ac:dyDescent="0.2">
      <c r="A51" s="141"/>
      <c r="B51" s="234"/>
      <c r="C51" s="123"/>
      <c r="D51" s="123"/>
      <c r="E51" s="123"/>
      <c r="F51" s="123"/>
      <c r="G51" s="123"/>
      <c r="H51" s="123"/>
      <c r="I51" s="123"/>
      <c r="J51" s="123"/>
      <c r="K51" s="123"/>
      <c r="L51" s="123"/>
      <c r="M51" s="123"/>
      <c r="N51" s="123"/>
      <c r="O51" s="123"/>
    </row>
    <row r="52" spans="1:15" ht="15" customHeight="1" x14ac:dyDescent="0.2">
      <c r="A52" s="33" t="s">
        <v>102</v>
      </c>
      <c r="B52" s="234"/>
      <c r="C52" s="123"/>
      <c r="D52" s="123"/>
      <c r="E52" s="123"/>
      <c r="F52" s="123"/>
      <c r="G52" s="123"/>
      <c r="H52" s="123"/>
      <c r="I52" s="123"/>
      <c r="J52" s="123"/>
      <c r="K52" s="123"/>
      <c r="L52" s="123"/>
      <c r="M52" s="123"/>
      <c r="N52" s="123"/>
      <c r="O52" s="123"/>
    </row>
    <row r="53" spans="1:15" ht="15" customHeight="1" x14ac:dyDescent="0.2">
      <c r="A53" s="141"/>
      <c r="B53" s="234" t="s">
        <v>323</v>
      </c>
      <c r="C53" s="123"/>
      <c r="D53" s="123">
        <f>D8/AVERAGE(BS!C12:D12)</f>
        <v>6.0700178728994221</v>
      </c>
      <c r="E53" s="123">
        <f>E8/AVERAGE(BS!D12:E12)</f>
        <v>4.1998354111783796</v>
      </c>
      <c r="F53" s="123">
        <f>F8/AVERAGE(BS!E12:F12)</f>
        <v>6.0501377872889615</v>
      </c>
      <c r="G53" s="123">
        <f>G8/AVERAGE(BS!F12:G12)</f>
        <v>8.5317610727638904</v>
      </c>
      <c r="H53" s="123">
        <f>H8/AVERAGE(BS!G12:H12)</f>
        <v>8.5463627053720614</v>
      </c>
      <c r="I53" s="123">
        <f>I8/AVERAGE(BS!H12:I12)</f>
        <v>8.5441966753823309</v>
      </c>
      <c r="J53" s="123">
        <f>J8/AVERAGE(BS!I12:J12)</f>
        <v>8.5421255070966158</v>
      </c>
      <c r="K53" s="123">
        <f>K8/AVERAGE(BS!J12:K12)</f>
        <v>8.5401431023205898</v>
      </c>
      <c r="L53" s="123">
        <f>L8/AVERAGE(BS!K12:L12)</f>
        <v>8.5382438745917497</v>
      </c>
      <c r="M53" s="123">
        <f>M8/AVERAGE(BS!L12:M12)</f>
        <v>8.5391089502231949</v>
      </c>
      <c r="N53" s="123">
        <f>N8/AVERAGE(BS!M12:N12)</f>
        <v>8.5372524203472366</v>
      </c>
      <c r="O53" s="123">
        <f>O8/AVERAGE(BS!N12:O12)</f>
        <v>8.5354713494113295</v>
      </c>
    </row>
    <row r="54" spans="1:15" ht="15" customHeight="1" x14ac:dyDescent="0.2">
      <c r="A54" s="141"/>
      <c r="B54" s="234" t="s">
        <v>324</v>
      </c>
      <c r="C54" s="123"/>
      <c r="D54" s="123">
        <f>IF(ISERROR(IS!D30/AVERAGE(BS!C24:D24)),"",IS!D30/AVERAGE(BS!C24:D24))</f>
        <v>1.3029894474330148</v>
      </c>
      <c r="E54" s="123">
        <f>IF(ISERROR(IS!E30/AVERAGE(BS!D24:E24)),"",IS!E30/AVERAGE(BS!D24:E24))</f>
        <v>1.8934752818216154</v>
      </c>
      <c r="F54" s="123">
        <f>IF(ISERROR(IS!F30/AVERAGE(BS!E24:F24)),"",IS!F30/AVERAGE(BS!E24:F24))</f>
        <v>2.0425745249326042</v>
      </c>
      <c r="G54" s="123">
        <f>IF(ISERROR(IS!G30/AVERAGE(BS!F24:G24)),"",IS!G30/AVERAGE(BS!F24:G24))</f>
        <v>7.7099406919059685</v>
      </c>
      <c r="H54" s="123" t="str">
        <f>IF(ISERROR(IS!H30/AVERAGE(BS!G24:H24)),"",IS!H30/AVERAGE(BS!G24:H24))</f>
        <v/>
      </c>
      <c r="I54" s="123" t="str">
        <f>IF(ISERROR(IS!I30/AVERAGE(BS!H24:I24)),"",IS!I30/AVERAGE(BS!H24:I24))</f>
        <v/>
      </c>
      <c r="J54" s="123" t="str">
        <f>IF(ISERROR(IS!J30/AVERAGE(BS!I24:J24)),"",IS!J30/AVERAGE(BS!I24:J24))</f>
        <v/>
      </c>
      <c r="K54" s="123" t="str">
        <f>IF(ISERROR(IS!K30/AVERAGE(BS!J24:K24)),"",IS!K30/AVERAGE(BS!J24:K24))</f>
        <v/>
      </c>
      <c r="L54" s="123" t="str">
        <f>IF(ISERROR(IS!L30/AVERAGE(BS!K24:L24)),"",IS!L30/AVERAGE(BS!K24:L24))</f>
        <v/>
      </c>
      <c r="M54" s="123" t="str">
        <f>IF(ISERROR(IS!M30/AVERAGE(BS!L24:M24)),"",IS!M30/AVERAGE(BS!L24:M24))</f>
        <v/>
      </c>
      <c r="N54" s="123" t="str">
        <f>IF(ISERROR(IS!N30/AVERAGE(BS!M24:N24)),"",IS!N30/AVERAGE(BS!M24:N24))</f>
        <v/>
      </c>
      <c r="O54" s="123" t="str">
        <f>IF(ISERROR(IS!O30/AVERAGE(BS!N24:O24)),"",IS!O30/AVERAGE(BS!N24:O24))</f>
        <v/>
      </c>
    </row>
    <row r="55" spans="1:15" ht="15" customHeight="1" x14ac:dyDescent="0.2">
      <c r="A55" s="141"/>
      <c r="B55" s="234" t="s">
        <v>325</v>
      </c>
      <c r="C55" s="123"/>
      <c r="D55" s="123">
        <f>D8/AVERAGE(BS!C17:D17)</f>
        <v>0.2501374240514489</v>
      </c>
      <c r="E55" s="123">
        <f>E8/AVERAGE(BS!D17:E17)</f>
        <v>0.23023450755382013</v>
      </c>
      <c r="F55" s="123">
        <f>F8/AVERAGE(BS!E17:F17)</f>
        <v>0.17559951621819681</v>
      </c>
      <c r="G55" s="123">
        <f>G8/AVERAGE(BS!F17:G17)</f>
        <v>0.16713279723325489</v>
      </c>
      <c r="H55" s="123">
        <f>H8/AVERAGE(BS!G17:H17)</f>
        <v>0.17788792984407933</v>
      </c>
      <c r="I55" s="123">
        <f>I8/AVERAGE(BS!H17:I17)</f>
        <v>0.18936636091287959</v>
      </c>
      <c r="J55" s="123">
        <f>J8/AVERAGE(BS!I17:J17)</f>
        <v>0.20164226434982765</v>
      </c>
      <c r="K55" s="123">
        <f>K8/AVERAGE(BS!J17:K17)</f>
        <v>0.21480132088504525</v>
      </c>
      <c r="L55" s="123">
        <f>L8/AVERAGE(BS!K17:L17)</f>
        <v>0.228943002387584</v>
      </c>
      <c r="M55" s="123">
        <f>M8/AVERAGE(BS!L17:M17)</f>
        <v>0.24433874382444826</v>
      </c>
      <c r="N55" s="123">
        <f>N8/AVERAGE(BS!M17:N17)</f>
        <v>0.26098389610245754</v>
      </c>
      <c r="O55" s="123">
        <f>O8/AVERAGE(BS!N17:O17)</f>
        <v>0.27904125954138564</v>
      </c>
    </row>
    <row r="56" spans="1:15" ht="15" customHeight="1" x14ac:dyDescent="0.2">
      <c r="A56" s="141"/>
      <c r="B56" s="234" t="s">
        <v>326</v>
      </c>
      <c r="C56" s="123"/>
      <c r="D56" s="123">
        <f>D8/AVERAGE(C23:D23)</f>
        <v>0.1764181503221883</v>
      </c>
      <c r="E56" s="123">
        <f t="shared" ref="E56:O56" si="17">E8/AVERAGE(D23:E23)</f>
        <v>0.16027768874411943</v>
      </c>
      <c r="F56" s="123">
        <f t="shared" ca="1" si="17"/>
        <v>0.14986368929940866</v>
      </c>
      <c r="G56" s="123">
        <f t="shared" ca="1" si="17"/>
        <v>0.15044801145091838</v>
      </c>
      <c r="H56" s="123">
        <f t="shared" ca="1" si="17"/>
        <v>0.15523598671630143</v>
      </c>
      <c r="I56" s="123">
        <f t="shared" ca="1" si="17"/>
        <v>0.15549735275869975</v>
      </c>
      <c r="J56" s="123">
        <f t="shared" ca="1" si="17"/>
        <v>0.1546149984568701</v>
      </c>
      <c r="K56" s="123">
        <f t="shared" ca="1" si="17"/>
        <v>0.15358619803585888</v>
      </c>
      <c r="L56" s="123">
        <f t="shared" ca="1" si="17"/>
        <v>0.15242130776251955</v>
      </c>
      <c r="M56" s="123">
        <f t="shared" ca="1" si="17"/>
        <v>0.15249452881985207</v>
      </c>
      <c r="N56" s="123">
        <f t="shared" ca="1" si="17"/>
        <v>0.15401468367634813</v>
      </c>
      <c r="O56" s="123">
        <f t="shared" ca="1" si="17"/>
        <v>0.15400068543353995</v>
      </c>
    </row>
    <row r="57" spans="1:15" ht="15" customHeight="1" x14ac:dyDescent="0.2">
      <c r="A57" s="141"/>
      <c r="B57" s="234"/>
      <c r="C57" s="123"/>
      <c r="D57" s="123"/>
      <c r="E57" s="123"/>
      <c r="F57" s="123"/>
      <c r="G57" s="123"/>
      <c r="H57" s="123"/>
      <c r="I57" s="123"/>
      <c r="J57" s="123"/>
      <c r="K57" s="123"/>
      <c r="L57" s="123"/>
      <c r="M57" s="123"/>
      <c r="N57" s="123"/>
      <c r="O57" s="123"/>
    </row>
    <row r="58" spans="1:15" ht="15" customHeight="1" x14ac:dyDescent="0.2">
      <c r="A58" s="33" t="s">
        <v>103</v>
      </c>
      <c r="B58" s="234"/>
      <c r="C58" s="123"/>
      <c r="D58" s="123"/>
      <c r="E58" s="123"/>
      <c r="F58" s="123"/>
      <c r="G58" s="123"/>
      <c r="H58" s="123"/>
      <c r="I58" s="123"/>
      <c r="J58" s="123"/>
      <c r="K58" s="123"/>
      <c r="L58" s="123"/>
      <c r="M58" s="123"/>
      <c r="N58" s="123"/>
      <c r="O58" s="123"/>
    </row>
    <row r="59" spans="1:15" ht="15" customHeight="1" x14ac:dyDescent="0.2">
      <c r="A59" s="141"/>
      <c r="B59" s="234" t="s">
        <v>327</v>
      </c>
      <c r="C59" s="143">
        <f>C19/C20</f>
        <v>0.49483160059651388</v>
      </c>
      <c r="D59" s="143">
        <f t="shared" ref="D59:O59" si="18">D19/D20</f>
        <v>0.45894844104997551</v>
      </c>
      <c r="E59" s="143">
        <f t="shared" si="18"/>
        <v>0.4370104108039467</v>
      </c>
      <c r="F59" s="143">
        <f t="shared" ca="1" si="18"/>
        <v>1.5787585161046491</v>
      </c>
      <c r="G59" s="143">
        <f t="shared" ca="1" si="18"/>
        <v>1.3230390626583008</v>
      </c>
      <c r="H59" s="143">
        <f t="shared" ca="1" si="18"/>
        <v>1.2160068513967139</v>
      </c>
      <c r="I59" s="143">
        <f t="shared" ca="1" si="18"/>
        <v>1.1454310387003366</v>
      </c>
      <c r="J59" s="143">
        <f t="shared" ca="1" si="18"/>
        <v>1.0797651665204675</v>
      </c>
      <c r="K59" s="143">
        <f t="shared" ca="1" si="18"/>
        <v>1.0185384959053898</v>
      </c>
      <c r="L59" s="143">
        <f t="shared" ca="1" si="18"/>
        <v>0.96150607760411599</v>
      </c>
      <c r="M59" s="143">
        <f t="shared" ca="1" si="18"/>
        <v>0.87563420294407923</v>
      </c>
      <c r="N59" s="143">
        <f t="shared" ca="1" si="18"/>
        <v>0.78673986740416524</v>
      </c>
      <c r="O59" s="143">
        <f t="shared" ca="1" si="18"/>
        <v>0.74367259161142407</v>
      </c>
    </row>
    <row r="60" spans="1:15" ht="15" customHeight="1" x14ac:dyDescent="0.2">
      <c r="A60" s="141"/>
      <c r="B60" s="234" t="s">
        <v>328</v>
      </c>
      <c r="C60" s="143">
        <f>BS!C30/BS!C19</f>
        <v>0.36277103540567718</v>
      </c>
      <c r="D60" s="143">
        <f>BS!D30/BS!D19</f>
        <v>0.33524732530941054</v>
      </c>
      <c r="E60" s="143">
        <f>BS!E30/BS!E19</f>
        <v>0.33968077074678038</v>
      </c>
      <c r="F60" s="143">
        <f ca="1">BS!F30/BS!F19</f>
        <v>0.61885432754446335</v>
      </c>
      <c r="G60" s="143">
        <f ca="1">BS!G30/BS!G19</f>
        <v>0.57749422341160439</v>
      </c>
      <c r="H60" s="143">
        <f ca="1">BS!H30/BS!H19</f>
        <v>0.55716249952021901</v>
      </c>
      <c r="I60" s="143">
        <f ca="1">BS!I30/BS!I19</f>
        <v>0.54255207422374419</v>
      </c>
      <c r="J60" s="143">
        <f ca="1">BS!J30/BS!J19</f>
        <v>0.52805584029344099</v>
      </c>
      <c r="K60" s="143">
        <f ca="1">BS!K30/BS!K19</f>
        <v>0.51367752464369487</v>
      </c>
      <c r="L60" s="143">
        <f ca="1">BS!L30/BS!L19</f>
        <v>0.49946431193041657</v>
      </c>
      <c r="M60" s="143">
        <f ca="1">BS!M30/BS!M19</f>
        <v>0.47663044652861297</v>
      </c>
      <c r="N60" s="143">
        <f ca="1">BS!N30/BS!N19</f>
        <v>0.45071386666466257</v>
      </c>
      <c r="O60" s="143">
        <f ca="1">BS!O30/BS!O19</f>
        <v>0.43702665493541887</v>
      </c>
    </row>
    <row r="61" spans="1:15" ht="15" customHeight="1" x14ac:dyDescent="0.2">
      <c r="A61" s="141"/>
      <c r="B61" s="234"/>
      <c r="C61" s="123"/>
      <c r="D61" s="123"/>
      <c r="E61" s="123"/>
      <c r="F61" s="123"/>
      <c r="G61" s="123"/>
      <c r="H61" s="123"/>
      <c r="I61" s="123"/>
      <c r="J61" s="123"/>
      <c r="K61" s="123"/>
      <c r="L61" s="123"/>
      <c r="M61" s="123"/>
      <c r="N61" s="123"/>
      <c r="O61" s="123"/>
    </row>
    <row r="62" spans="1:15" ht="15" customHeight="1" x14ac:dyDescent="0.2">
      <c r="A62" s="33" t="s">
        <v>105</v>
      </c>
      <c r="B62" s="234"/>
      <c r="C62" s="123"/>
      <c r="D62" s="123"/>
      <c r="E62" s="123"/>
      <c r="F62" s="123"/>
      <c r="G62" s="123"/>
      <c r="H62" s="123"/>
      <c r="I62" s="123"/>
      <c r="J62" s="123"/>
      <c r="K62" s="123"/>
      <c r="L62" s="123"/>
      <c r="M62" s="123"/>
      <c r="N62" s="123"/>
      <c r="O62" s="123"/>
    </row>
    <row r="63" spans="1:15" ht="15" customHeight="1" x14ac:dyDescent="0.2">
      <c r="A63" s="141"/>
      <c r="B63" s="234" t="s">
        <v>312</v>
      </c>
      <c r="C63" s="143"/>
      <c r="D63" s="143">
        <f>D37</f>
        <v>0.56686020168483575</v>
      </c>
      <c r="E63" s="143">
        <f t="shared" ref="E63:O63" si="19">E37</f>
        <v>0.41231114656252427</v>
      </c>
      <c r="F63" s="143">
        <f t="shared" ca="1" si="19"/>
        <v>0.32279049435612078</v>
      </c>
      <c r="G63" s="143">
        <f t="shared" ca="1" si="19"/>
        <v>0.30833073508516168</v>
      </c>
      <c r="H63" s="143">
        <f t="shared" ca="1" si="19"/>
        <v>0.32653784469355401</v>
      </c>
      <c r="I63" s="143">
        <f t="shared" ca="1" si="19"/>
        <v>0.3391147315256296</v>
      </c>
      <c r="J63" s="143">
        <f t="shared" ca="1" si="19"/>
        <v>0.34994433749428616</v>
      </c>
      <c r="K63" s="143">
        <f t="shared" ca="1" si="19"/>
        <v>0.36020840865075127</v>
      </c>
      <c r="L63" s="143">
        <f t="shared" ca="1" si="19"/>
        <v>0.36994848939883579</v>
      </c>
      <c r="M63" s="143">
        <f t="shared" ca="1" si="19"/>
        <v>0.38090992643969057</v>
      </c>
      <c r="N63" s="143">
        <f t="shared" ca="1" si="19"/>
        <v>0.3933184455380076</v>
      </c>
      <c r="O63" s="143">
        <f t="shared" ca="1" si="19"/>
        <v>0.40369670427726656</v>
      </c>
    </row>
    <row r="64" spans="1:15" ht="15" customHeight="1" x14ac:dyDescent="0.2">
      <c r="A64" s="141"/>
      <c r="B64" s="234" t="s">
        <v>326</v>
      </c>
      <c r="C64" s="123"/>
      <c r="D64" s="123">
        <f>D56</f>
        <v>0.1764181503221883</v>
      </c>
      <c r="E64" s="123">
        <f t="shared" ref="E64:O64" si="20">E56</f>
        <v>0.16027768874411943</v>
      </c>
      <c r="F64" s="123">
        <f t="shared" ca="1" si="20"/>
        <v>0.14986368929940866</v>
      </c>
      <c r="G64" s="123">
        <f t="shared" ca="1" si="20"/>
        <v>0.15044801145091838</v>
      </c>
      <c r="H64" s="123">
        <f t="shared" ca="1" si="20"/>
        <v>0.15523598671630143</v>
      </c>
      <c r="I64" s="123">
        <f t="shared" ca="1" si="20"/>
        <v>0.15549735275869975</v>
      </c>
      <c r="J64" s="123">
        <f t="shared" ca="1" si="20"/>
        <v>0.1546149984568701</v>
      </c>
      <c r="K64" s="123">
        <f t="shared" ca="1" si="20"/>
        <v>0.15358619803585888</v>
      </c>
      <c r="L64" s="123">
        <f t="shared" ca="1" si="20"/>
        <v>0.15242130776251955</v>
      </c>
      <c r="M64" s="123">
        <f t="shared" ca="1" si="20"/>
        <v>0.15249452881985207</v>
      </c>
      <c r="N64" s="123">
        <f t="shared" ca="1" si="20"/>
        <v>0.15401468367634813</v>
      </c>
      <c r="O64" s="123">
        <f t="shared" ca="1" si="20"/>
        <v>0.15400068543353995</v>
      </c>
    </row>
    <row r="65" spans="1:15" ht="15" customHeight="1" x14ac:dyDescent="0.2">
      <c r="B65" s="234" t="s">
        <v>314</v>
      </c>
      <c r="C65" s="123"/>
      <c r="D65" s="143">
        <f t="shared" ref="D65:O65" si="21">D63*D64</f>
        <v>0.10000442827250133</v>
      </c>
      <c r="E65" s="143">
        <f t="shared" si="21"/>
        <v>6.608427761447927E-2</v>
      </c>
      <c r="F65" s="143">
        <f t="shared" ca="1" si="21"/>
        <v>4.8374574354988209E-2</v>
      </c>
      <c r="G65" s="143">
        <f t="shared" ca="1" si="21"/>
        <v>4.6387745962762482E-2</v>
      </c>
      <c r="H65" s="143">
        <f t="shared" ca="1" si="21"/>
        <v>5.0690424521218247E-2</v>
      </c>
      <c r="I65" s="143">
        <f t="shared" ca="1" si="21"/>
        <v>5.2731443033712584E-2</v>
      </c>
      <c r="J65" s="143">
        <f t="shared" ca="1" si="21"/>
        <v>5.4106643201669483E-2</v>
      </c>
      <c r="K65" s="143">
        <f t="shared" ca="1" si="21"/>
        <v>5.5323039985215865E-2</v>
      </c>
      <c r="L65" s="143">
        <f t="shared" ca="1" si="21"/>
        <v>5.638803255893915E-2</v>
      </c>
      <c r="M65" s="143">
        <f t="shared" ca="1" si="21"/>
        <v>5.8086679755225121E-2</v>
      </c>
      <c r="N65" s="143">
        <f t="shared" ca="1" si="21"/>
        <v>6.0576815973609199E-2</v>
      </c>
      <c r="O65" s="143">
        <f t="shared" ca="1" si="21"/>
        <v>6.2169569165960128E-2</v>
      </c>
    </row>
    <row r="66" spans="1:15" ht="15" customHeight="1" x14ac:dyDescent="0.2">
      <c r="A66" s="141"/>
      <c r="B66" s="234" t="s">
        <v>329</v>
      </c>
      <c r="C66" s="123"/>
      <c r="D66" s="123">
        <f>AVERAGE(C23:D23)/AVERAGE(C20:D20)</f>
        <v>1.5310978854563961</v>
      </c>
      <c r="E66" s="123">
        <f t="shared" ref="E66:O66" si="22">AVERAGE(D23:E23)/AVERAGE(D20:E20)</f>
        <v>1.5091327771399803</v>
      </c>
      <c r="F66" s="123">
        <f t="shared" ca="1" si="22"/>
        <v>2.199843819453791</v>
      </c>
      <c r="G66" s="123">
        <f t="shared" ca="1" si="22"/>
        <v>2.4906028720618418</v>
      </c>
      <c r="H66" s="123">
        <f t="shared" ca="1" si="22"/>
        <v>2.3108429887225754</v>
      </c>
      <c r="I66" s="123">
        <f t="shared" ca="1" si="22"/>
        <v>2.2210251531374832</v>
      </c>
      <c r="J66" s="123">
        <f t="shared" ca="1" si="22"/>
        <v>2.1514772082478641</v>
      </c>
      <c r="K66" s="123">
        <f t="shared" ca="1" si="22"/>
        <v>2.086657788815856</v>
      </c>
      <c r="L66" s="123">
        <f t="shared" ca="1" si="22"/>
        <v>2.0262132535986717</v>
      </c>
      <c r="M66" s="123">
        <f t="shared" ca="1" si="22"/>
        <v>1.9530279067233571</v>
      </c>
      <c r="N66" s="123">
        <f t="shared" ca="1" si="22"/>
        <v>1.8643304604776068</v>
      </c>
      <c r="O66" s="123">
        <f t="shared" ca="1" si="22"/>
        <v>1.7977911192295994</v>
      </c>
    </row>
    <row r="67" spans="1:15" ht="15" customHeight="1" x14ac:dyDescent="0.2">
      <c r="A67" s="141"/>
      <c r="B67" s="234" t="s">
        <v>313</v>
      </c>
      <c r="C67" s="143"/>
      <c r="D67" s="143">
        <f>D65*D66</f>
        <v>0.15311656866430262</v>
      </c>
      <c r="E67" s="143">
        <f t="shared" ref="E67:O67" si="23">E65*E66</f>
        <v>9.9729949401628534E-2</v>
      </c>
      <c r="F67" s="143">
        <f t="shared" ca="1" si="23"/>
        <v>0.10641650841352868</v>
      </c>
      <c r="G67" s="143">
        <f t="shared" ca="1" si="23"/>
        <v>0.11553345332333134</v>
      </c>
      <c r="H67" s="143">
        <f t="shared" ca="1" si="23"/>
        <v>0.11713761210022809</v>
      </c>
      <c r="I67" s="143">
        <f t="shared" ca="1" si="23"/>
        <v>0.11711786133911196</v>
      </c>
      <c r="J67" s="143">
        <f t="shared" ca="1" si="23"/>
        <v>0.11640920966319114</v>
      </c>
      <c r="K67" s="143">
        <f t="shared" ca="1" si="23"/>
        <v>0.11544025228612172</v>
      </c>
      <c r="L67" s="143">
        <f t="shared" ca="1" si="23"/>
        <v>0.11425417891527592</v>
      </c>
      <c r="M67" s="143">
        <f t="shared" ca="1" si="23"/>
        <v>0.11344490657085732</v>
      </c>
      <c r="N67" s="143">
        <f t="shared" ca="1" si="23"/>
        <v>0.11293520321834609</v>
      </c>
      <c r="O67" s="143">
        <f t="shared" ca="1" si="23"/>
        <v>0.11176789933289345</v>
      </c>
    </row>
    <row r="68" spans="1:15" ht="15" customHeight="1" x14ac:dyDescent="0.2">
      <c r="A68" s="7"/>
      <c r="B68" s="233"/>
      <c r="C68" s="123"/>
      <c r="D68" s="123"/>
      <c r="E68" s="123"/>
      <c r="F68" s="123"/>
      <c r="G68" s="123"/>
      <c r="H68" s="123"/>
      <c r="I68" s="123"/>
      <c r="J68" s="123"/>
      <c r="K68" s="123"/>
      <c r="L68" s="123"/>
      <c r="M68" s="123"/>
      <c r="N68" s="123"/>
      <c r="O68" s="123"/>
    </row>
    <row r="69" spans="1:15" ht="15" customHeight="1" x14ac:dyDescent="0.2">
      <c r="A69" s="153"/>
      <c r="B69" s="51"/>
      <c r="C69" s="123"/>
      <c r="D69" s="123"/>
      <c r="E69" s="123"/>
      <c r="F69" s="129"/>
      <c r="G69" s="129"/>
      <c r="H69" s="129"/>
      <c r="I69" s="129"/>
      <c r="J69" s="129"/>
      <c r="K69" s="129"/>
      <c r="L69" s="129"/>
      <c r="M69" s="129"/>
      <c r="N69" s="129"/>
      <c r="O69" s="129"/>
    </row>
    <row r="70" spans="1:15" ht="15" customHeight="1" x14ac:dyDescent="0.2">
      <c r="A70" s="7"/>
      <c r="B70" s="233"/>
      <c r="C70" s="123"/>
      <c r="D70" s="123"/>
      <c r="E70" s="123"/>
      <c r="F70" s="123"/>
      <c r="G70" s="123"/>
      <c r="H70" s="123"/>
      <c r="I70" s="123"/>
      <c r="J70" s="123"/>
      <c r="K70" s="123"/>
      <c r="L70" s="123"/>
      <c r="M70" s="123"/>
      <c r="N70" s="123"/>
      <c r="O70" s="123"/>
    </row>
    <row r="71" spans="1:15" ht="15" customHeight="1" x14ac:dyDescent="0.2">
      <c r="A71" s="7"/>
      <c r="B71" s="233"/>
      <c r="C71" s="123"/>
      <c r="D71" s="123"/>
      <c r="E71" s="123"/>
      <c r="F71" s="123"/>
      <c r="G71" s="123"/>
      <c r="H71" s="123"/>
      <c r="I71" s="123"/>
      <c r="J71" s="123"/>
      <c r="K71" s="123"/>
      <c r="L71" s="123"/>
      <c r="M71" s="123"/>
      <c r="N71" s="123"/>
      <c r="O71" s="123"/>
    </row>
    <row r="72" spans="1:15" ht="15" customHeight="1" x14ac:dyDescent="0.2">
      <c r="A72" s="7"/>
      <c r="B72" s="233"/>
      <c r="C72" s="123"/>
      <c r="D72" s="123"/>
      <c r="E72" s="123"/>
      <c r="F72" s="123"/>
      <c r="G72" s="123"/>
      <c r="H72" s="123"/>
      <c r="I72" s="123"/>
      <c r="J72" s="123"/>
      <c r="K72" s="123"/>
      <c r="L72" s="123"/>
      <c r="M72" s="123"/>
      <c r="N72" s="123"/>
      <c r="O72" s="123"/>
    </row>
    <row r="73" spans="1:15" ht="15" customHeight="1" x14ac:dyDescent="0.2">
      <c r="A73" s="7"/>
      <c r="B73" s="233"/>
      <c r="C73" s="123"/>
      <c r="D73" s="123"/>
      <c r="E73" s="123"/>
      <c r="F73" s="123"/>
      <c r="G73" s="123"/>
      <c r="H73" s="123"/>
      <c r="I73" s="123"/>
      <c r="J73" s="123"/>
      <c r="K73" s="123"/>
      <c r="L73" s="123"/>
      <c r="M73" s="123"/>
      <c r="N73" s="123"/>
      <c r="O73" s="123"/>
    </row>
    <row r="74" spans="1:15" ht="15" customHeight="1" x14ac:dyDescent="0.2">
      <c r="A74" s="7"/>
      <c r="B74" s="233"/>
      <c r="C74" s="123"/>
      <c r="D74" s="123"/>
      <c r="E74" s="123"/>
      <c r="F74" s="123"/>
      <c r="G74" s="123"/>
      <c r="H74" s="123"/>
      <c r="I74" s="123"/>
      <c r="J74" s="123"/>
      <c r="K74" s="123"/>
      <c r="L74" s="123"/>
      <c r="M74" s="123"/>
      <c r="N74" s="123"/>
      <c r="O74" s="123"/>
    </row>
    <row r="75" spans="1:15" ht="15" customHeight="1" x14ac:dyDescent="0.2">
      <c r="A75" s="7"/>
      <c r="B75" s="233"/>
      <c r="C75" s="123"/>
      <c r="D75" s="123"/>
      <c r="E75" s="123"/>
      <c r="F75" s="123"/>
      <c r="G75" s="123"/>
      <c r="H75" s="123"/>
      <c r="I75" s="123"/>
      <c r="J75" s="123"/>
      <c r="K75" s="123"/>
      <c r="L75" s="123"/>
      <c r="M75" s="123"/>
      <c r="N75" s="123"/>
      <c r="O75" s="123"/>
    </row>
    <row r="76" spans="1:15" ht="15" customHeight="1" x14ac:dyDescent="0.2">
      <c r="B76" s="55"/>
      <c r="C76" s="12"/>
      <c r="D76" s="12"/>
      <c r="E76" s="12"/>
      <c r="F76" s="12"/>
      <c r="G76" s="12"/>
      <c r="H76" s="12"/>
      <c r="I76" s="12"/>
      <c r="J76" s="12"/>
      <c r="K76" s="12"/>
      <c r="L76" s="12"/>
      <c r="M76" s="12"/>
      <c r="N76" s="12"/>
      <c r="O76" s="12"/>
    </row>
    <row r="77" spans="1:15" ht="15" customHeight="1" x14ac:dyDescent="0.2">
      <c r="B77" s="246"/>
      <c r="C77" s="123"/>
      <c r="D77" s="123"/>
      <c r="E77" s="123"/>
      <c r="F77" s="123"/>
      <c r="G77" s="123"/>
      <c r="H77" s="123"/>
      <c r="I77" s="123"/>
      <c r="J77" s="123"/>
      <c r="K77" s="123"/>
      <c r="L77" s="123"/>
      <c r="M77" s="123"/>
      <c r="N77" s="123"/>
      <c r="O77" s="123"/>
    </row>
    <row r="78" spans="1:15" ht="15" customHeight="1" x14ac:dyDescent="0.2">
      <c r="B78" s="51"/>
      <c r="C78" s="123"/>
      <c r="D78" s="123"/>
      <c r="E78" s="123"/>
      <c r="F78" s="123"/>
      <c r="G78" s="123"/>
      <c r="H78" s="123"/>
      <c r="I78" s="123"/>
      <c r="J78" s="123"/>
      <c r="K78" s="123"/>
      <c r="L78" s="123"/>
      <c r="M78" s="123"/>
      <c r="N78" s="123"/>
      <c r="O78" s="123"/>
    </row>
    <row r="79" spans="1:15" ht="15" customHeight="1" x14ac:dyDescent="0.2">
      <c r="B79" s="51"/>
      <c r="C79" s="123"/>
      <c r="D79" s="123"/>
      <c r="E79" s="123"/>
      <c r="F79" s="123"/>
      <c r="G79" s="123"/>
      <c r="H79" s="123"/>
      <c r="I79" s="123"/>
      <c r="J79" s="123"/>
      <c r="K79" s="123"/>
      <c r="L79" s="123"/>
      <c r="M79" s="123"/>
      <c r="N79" s="123"/>
      <c r="O79" s="123"/>
    </row>
    <row r="80" spans="1:15" ht="15" customHeight="1" x14ac:dyDescent="0.2">
      <c r="B80" s="51"/>
      <c r="C80" s="123"/>
      <c r="D80" s="123"/>
      <c r="E80" s="123"/>
      <c r="F80" s="123"/>
      <c r="G80" s="123"/>
      <c r="H80" s="123"/>
      <c r="I80" s="123"/>
      <c r="J80" s="123"/>
      <c r="K80" s="123"/>
      <c r="L80" s="123"/>
      <c r="M80" s="123"/>
      <c r="N80" s="123"/>
      <c r="O80" s="123"/>
    </row>
    <row r="81" spans="1:15" ht="15" customHeight="1" x14ac:dyDescent="0.2">
      <c r="B81" s="129"/>
      <c r="C81" s="123"/>
      <c r="D81" s="123"/>
      <c r="E81" s="123"/>
      <c r="F81" s="123"/>
      <c r="G81" s="123"/>
      <c r="H81" s="123"/>
      <c r="I81" s="123"/>
      <c r="J81" s="123"/>
      <c r="K81" s="123"/>
      <c r="L81" s="123"/>
      <c r="M81" s="123"/>
      <c r="N81" s="123"/>
      <c r="O81" s="123"/>
    </row>
    <row r="82" spans="1:15" ht="15" customHeight="1" x14ac:dyDescent="0.2">
      <c r="A82" s="6"/>
      <c r="B82" s="51"/>
      <c r="C82" s="123"/>
      <c r="D82" s="123"/>
      <c r="E82" s="123"/>
      <c r="F82" s="123"/>
      <c r="G82" s="123"/>
      <c r="H82" s="123"/>
      <c r="I82" s="123"/>
      <c r="J82" s="123"/>
      <c r="K82" s="123"/>
      <c r="L82" s="123"/>
      <c r="M82" s="123"/>
      <c r="N82" s="123"/>
      <c r="O82" s="123"/>
    </row>
    <row r="83" spans="1:15" ht="15" customHeight="1" x14ac:dyDescent="0.2">
      <c r="A83" s="6"/>
      <c r="B83" s="129"/>
      <c r="C83" s="123"/>
      <c r="D83" s="123"/>
      <c r="E83" s="123"/>
      <c r="F83" s="123"/>
      <c r="G83" s="123"/>
      <c r="H83" s="123"/>
      <c r="I83" s="123"/>
      <c r="J83" s="123"/>
      <c r="K83" s="123"/>
      <c r="L83" s="123"/>
      <c r="M83" s="123"/>
      <c r="N83" s="123"/>
      <c r="O83" s="123"/>
    </row>
    <row r="84" spans="1:15" ht="15" customHeight="1" x14ac:dyDescent="0.2">
      <c r="B84" s="129"/>
      <c r="C84" s="123"/>
      <c r="D84" s="123"/>
      <c r="E84" s="123"/>
      <c r="F84" s="123"/>
      <c r="G84" s="123"/>
      <c r="H84" s="123"/>
      <c r="I84" s="123"/>
      <c r="J84" s="123"/>
      <c r="K84" s="123"/>
      <c r="L84" s="123"/>
      <c r="M84" s="123"/>
      <c r="N84" s="123"/>
      <c r="O84" s="123"/>
    </row>
    <row r="85" spans="1:15" ht="15" customHeight="1" x14ac:dyDescent="0.2">
      <c r="B85" s="129"/>
      <c r="C85" s="123"/>
      <c r="D85" s="123"/>
      <c r="E85" s="123"/>
      <c r="F85" s="123"/>
      <c r="G85" s="123"/>
      <c r="H85" s="123"/>
      <c r="I85" s="123"/>
      <c r="J85" s="123"/>
      <c r="K85" s="123"/>
      <c r="L85" s="123"/>
      <c r="M85" s="123"/>
      <c r="N85" s="123"/>
      <c r="O85" s="123"/>
    </row>
    <row r="86" spans="1:15" ht="15" customHeight="1" x14ac:dyDescent="0.2">
      <c r="C86" s="123"/>
      <c r="D86" s="123"/>
      <c r="E86" s="123"/>
      <c r="F86" s="123"/>
      <c r="G86" s="123"/>
      <c r="H86" s="123"/>
      <c r="I86" s="123"/>
      <c r="J86" s="123"/>
      <c r="K86" s="123"/>
      <c r="L86" s="123"/>
      <c r="M86" s="123"/>
      <c r="N86" s="123"/>
      <c r="O86" s="123"/>
    </row>
    <row r="87" spans="1:15" ht="15" customHeight="1" x14ac:dyDescent="0.2">
      <c r="B87" s="144"/>
      <c r="C87" s="123"/>
      <c r="D87" s="123"/>
      <c r="E87" s="123"/>
      <c r="F87" s="123"/>
    </row>
    <row r="88" spans="1:15" ht="15" customHeight="1" x14ac:dyDescent="0.2">
      <c r="B88" s="144"/>
      <c r="C88" s="123"/>
      <c r="D88" s="123"/>
      <c r="E88" s="123"/>
      <c r="F88" s="123"/>
    </row>
    <row r="89" spans="1:15" ht="15" customHeight="1" x14ac:dyDescent="0.2">
      <c r="B89" s="144"/>
      <c r="C89" s="123"/>
      <c r="D89" s="123"/>
      <c r="E89" s="123"/>
      <c r="F89" s="123"/>
    </row>
    <row r="90" spans="1:15" ht="15" customHeight="1" x14ac:dyDescent="0.2">
      <c r="B90" s="144"/>
      <c r="C90" s="123"/>
      <c r="D90" s="123"/>
      <c r="E90" s="123"/>
      <c r="F90" s="123"/>
    </row>
    <row r="91" spans="1:15" ht="15" customHeight="1" x14ac:dyDescent="0.2">
      <c r="B91" s="144"/>
      <c r="C91" s="123"/>
      <c r="D91" s="123"/>
      <c r="E91" s="123"/>
      <c r="F91" s="123"/>
    </row>
    <row r="92" spans="1:15" ht="15" customHeight="1" x14ac:dyDescent="0.2">
      <c r="B92" s="144"/>
      <c r="C92" s="123"/>
      <c r="D92" s="123"/>
      <c r="E92" s="123"/>
      <c r="F92" s="123"/>
    </row>
    <row r="93" spans="1:15" ht="15" customHeight="1" x14ac:dyDescent="0.2">
      <c r="B93" s="144"/>
      <c r="C93" s="123"/>
      <c r="D93" s="123"/>
      <c r="E93" s="123"/>
      <c r="F93" s="123"/>
    </row>
    <row r="94" spans="1:15" ht="15" customHeight="1" x14ac:dyDescent="0.2">
      <c r="B94" s="144"/>
      <c r="C94" s="123"/>
      <c r="D94" s="123"/>
      <c r="E94" s="123"/>
      <c r="F94" s="123"/>
    </row>
    <row r="95" spans="1:15" ht="15" customHeight="1" x14ac:dyDescent="0.2">
      <c r="B95" s="144"/>
      <c r="C95" s="123"/>
      <c r="D95" s="123"/>
      <c r="E95" s="123"/>
      <c r="F95" s="123"/>
    </row>
    <row r="96" spans="1:15" ht="15" customHeight="1" x14ac:dyDescent="0.2">
      <c r="B96" s="144"/>
      <c r="F96" s="144"/>
    </row>
    <row r="97" spans="2:6" ht="15" customHeight="1" x14ac:dyDescent="0.2">
      <c r="B97" s="144"/>
      <c r="F97" s="144"/>
    </row>
    <row r="98" spans="2:6" ht="15" customHeight="1" x14ac:dyDescent="0.2">
      <c r="F98" s="144"/>
    </row>
    <row r="99" spans="2:6" ht="15" customHeight="1" x14ac:dyDescent="0.2">
      <c r="F99" s="144"/>
    </row>
    <row r="100" spans="2:6" ht="15" customHeight="1" x14ac:dyDescent="0.2">
      <c r="F100" s="144"/>
    </row>
    <row r="101" spans="2:6" ht="15" customHeight="1" x14ac:dyDescent="0.2">
      <c r="F101" s="144"/>
    </row>
  </sheetData>
  <phoneticPr fontId="2" type="noConversion"/>
  <printOptions horizontalCentered="1" verticalCentered="1" headings="1"/>
  <pageMargins left="0.74803149606299213" right="0.74803149606299213" top="0.98425196850393704" bottom="0.98425196850393704" header="0.51181102362204722" footer="0.51181102362204722"/>
  <pageSetup paperSize="9" scale="47" orientation="landscape" blackAndWhite="1" verticalDpi="1200" r:id="rId1"/>
  <headerFooter alignWithMargins="0">
    <oddHeader>&amp;L&amp;"宋体,常规"诚迅金融培训&amp;Rwww.chainshine.com</oddHeader>
    <oddFooter>第 &amp;P 页，共 &amp;N 页</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fitToPage="1"/>
  </sheetPr>
  <dimension ref="A1:P62"/>
  <sheetViews>
    <sheetView workbookViewId="0">
      <pane xSplit="2" ySplit="5" topLeftCell="C6" activePane="bottomRight" state="frozen"/>
      <selection activeCell="A6" sqref="A6"/>
      <selection pane="topRight" activeCell="A6" sqref="A6"/>
      <selection pane="bottomLeft" activeCell="A6" sqref="A6"/>
      <selection pane="bottomRight" activeCell="C6" sqref="C6"/>
    </sheetView>
  </sheetViews>
  <sheetFormatPr defaultColWidth="0" defaultRowHeight="15" customHeight="1" x14ac:dyDescent="0.2"/>
  <cols>
    <col min="1" max="1" width="1.7109375" style="129" customWidth="1"/>
    <col min="2" max="2" width="27.7109375" style="129" customWidth="1"/>
    <col min="3" max="15" width="10.7109375" style="129" customWidth="1"/>
    <col min="16" max="16" width="1.7109375" style="129" customWidth="1"/>
    <col min="17" max="16384" width="0" style="121" hidden="1"/>
  </cols>
  <sheetData>
    <row r="1" spans="1:15" s="121" customFormat="1" ht="24" customHeight="1" x14ac:dyDescent="0.3">
      <c r="A1" s="110" t="s">
        <v>77</v>
      </c>
      <c r="B1" s="120"/>
      <c r="C1" s="111"/>
      <c r="D1" s="111"/>
      <c r="E1" s="111"/>
      <c r="F1" s="111"/>
      <c r="G1" s="111"/>
      <c r="H1" s="111"/>
      <c r="I1" s="111"/>
      <c r="J1" s="111"/>
      <c r="K1" s="111"/>
      <c r="L1" s="111"/>
      <c r="M1" s="111"/>
      <c r="N1" s="111"/>
      <c r="O1" s="111"/>
    </row>
    <row r="2" spans="1:15" s="121" customFormat="1" ht="2.1" customHeight="1" x14ac:dyDescent="0.2">
      <c r="A2" s="26"/>
      <c r="B2" s="147"/>
      <c r="C2" s="112"/>
      <c r="D2" s="112"/>
      <c r="E2" s="112"/>
      <c r="F2" s="112"/>
      <c r="G2" s="112"/>
      <c r="H2" s="112"/>
      <c r="I2" s="112"/>
      <c r="J2" s="112"/>
      <c r="K2" s="112"/>
      <c r="L2" s="112"/>
      <c r="M2" s="112"/>
      <c r="N2" s="112"/>
      <c r="O2" s="112"/>
    </row>
    <row r="3" spans="1:15" s="121" customFormat="1" ht="18" customHeight="1" x14ac:dyDescent="0.25">
      <c r="A3" s="210" t="s">
        <v>82</v>
      </c>
      <c r="B3" s="172"/>
      <c r="C3" s="172"/>
      <c r="D3" s="173"/>
      <c r="E3" s="173"/>
      <c r="F3" s="173"/>
      <c r="G3" s="173"/>
      <c r="H3" s="173"/>
      <c r="I3" s="173"/>
      <c r="J3" s="173"/>
      <c r="K3" s="173"/>
      <c r="L3" s="173"/>
      <c r="M3" s="173"/>
      <c r="N3" s="173"/>
      <c r="O3" s="173"/>
    </row>
    <row r="4" spans="1:15" s="121" customFormat="1" ht="2.1" customHeight="1" x14ac:dyDescent="0.2">
      <c r="A4" s="174"/>
      <c r="B4" s="175"/>
      <c r="C4" s="175"/>
      <c r="D4" s="176"/>
      <c r="E4" s="176"/>
      <c r="F4" s="176"/>
      <c r="G4" s="176"/>
      <c r="H4" s="176"/>
      <c r="I4" s="176"/>
      <c r="J4" s="176"/>
      <c r="K4" s="176"/>
      <c r="L4" s="176"/>
      <c r="M4" s="108" t="s">
        <v>85</v>
      </c>
      <c r="N4" s="108" t="s">
        <v>85</v>
      </c>
      <c r="O4" s="108" t="s">
        <v>85</v>
      </c>
    </row>
    <row r="5" spans="1:15" s="121" customFormat="1" ht="15" customHeight="1" x14ac:dyDescent="0.2">
      <c r="A5" s="113" t="s">
        <v>86</v>
      </c>
      <c r="C5" s="114">
        <v>39082</v>
      </c>
      <c r="D5" s="114">
        <v>39447</v>
      </c>
      <c r="E5" s="114">
        <v>39813</v>
      </c>
      <c r="F5" s="115">
        <v>40178</v>
      </c>
      <c r="G5" s="115">
        <v>40543</v>
      </c>
      <c r="H5" s="115">
        <v>40908</v>
      </c>
      <c r="I5" s="115">
        <v>41274</v>
      </c>
      <c r="J5" s="115">
        <v>41639</v>
      </c>
      <c r="K5" s="115">
        <v>42004</v>
      </c>
      <c r="L5" s="115">
        <v>42369</v>
      </c>
      <c r="M5" s="115">
        <v>42735</v>
      </c>
      <c r="N5" s="115">
        <v>43100</v>
      </c>
      <c r="O5" s="115">
        <v>43465</v>
      </c>
    </row>
    <row r="6" spans="1:15" s="121" customFormat="1" ht="15" customHeight="1" x14ac:dyDescent="0.2">
      <c r="A6" s="6"/>
      <c r="D6" s="8"/>
      <c r="E6" s="8"/>
      <c r="F6" s="43"/>
      <c r="G6" s="123"/>
      <c r="H6" s="123"/>
      <c r="I6" s="123"/>
      <c r="J6" s="123"/>
      <c r="K6" s="123"/>
      <c r="L6" s="123"/>
      <c r="M6" s="123"/>
      <c r="N6" s="123"/>
      <c r="O6" s="123"/>
    </row>
    <row r="7" spans="1:15" s="121" customFormat="1" ht="15" customHeight="1" x14ac:dyDescent="0.2">
      <c r="A7" s="5" t="s">
        <v>87</v>
      </c>
      <c r="D7" s="8"/>
      <c r="E7" s="8"/>
      <c r="F7" s="117">
        <v>40178</v>
      </c>
      <c r="G7" s="123"/>
      <c r="H7" s="123"/>
      <c r="I7" s="123"/>
      <c r="J7" s="123"/>
      <c r="K7" s="123"/>
      <c r="L7" s="123"/>
      <c r="M7" s="123"/>
      <c r="N7" s="123"/>
      <c r="O7" s="123"/>
    </row>
    <row r="8" spans="1:15" s="121" customFormat="1" ht="15" customHeight="1" x14ac:dyDescent="0.2">
      <c r="A8" s="6"/>
      <c r="D8" s="8"/>
      <c r="E8" s="8"/>
      <c r="F8" s="43"/>
      <c r="G8" s="123"/>
      <c r="H8" s="123"/>
      <c r="I8" s="123"/>
      <c r="J8" s="123"/>
      <c r="K8" s="123"/>
      <c r="L8" s="123"/>
      <c r="M8" s="123"/>
      <c r="N8" s="123"/>
      <c r="O8" s="123"/>
    </row>
    <row r="9" spans="1:15" s="121" customFormat="1" ht="15" customHeight="1" x14ac:dyDescent="0.2">
      <c r="A9" s="33" t="s">
        <v>88</v>
      </c>
      <c r="B9" s="141"/>
      <c r="D9" s="142"/>
      <c r="E9" s="142"/>
      <c r="F9" s="142"/>
      <c r="G9" s="123"/>
      <c r="H9" s="123"/>
      <c r="I9" s="123"/>
      <c r="J9" s="123"/>
      <c r="K9" s="123"/>
      <c r="L9" s="123"/>
      <c r="M9" s="123"/>
      <c r="N9" s="123"/>
      <c r="O9" s="123"/>
    </row>
    <row r="10" spans="1:15" s="121" customFormat="1" ht="15" customHeight="1" x14ac:dyDescent="0.2">
      <c r="A10" s="29"/>
      <c r="B10" s="234" t="s">
        <v>330</v>
      </c>
      <c r="D10" s="142"/>
      <c r="F10" s="56">
        <v>5.3499999999999999E-2</v>
      </c>
      <c r="G10" s="123"/>
      <c r="H10" s="123"/>
      <c r="I10" s="123"/>
      <c r="J10" s="123"/>
      <c r="K10" s="123"/>
      <c r="L10" s="123"/>
      <c r="M10" s="123"/>
      <c r="N10" s="123"/>
      <c r="O10" s="123"/>
    </row>
    <row r="11" spans="1:15" s="121" customFormat="1" ht="15" customHeight="1" x14ac:dyDescent="0.2">
      <c r="A11" s="29"/>
      <c r="B11" s="234" t="s">
        <v>331</v>
      </c>
      <c r="D11" s="142"/>
      <c r="F11" s="56">
        <v>0.25</v>
      </c>
      <c r="G11" s="123"/>
      <c r="H11" s="123"/>
      <c r="I11" s="123"/>
      <c r="J11" s="123"/>
      <c r="K11" s="123"/>
      <c r="L11" s="123"/>
      <c r="M11" s="123"/>
      <c r="N11" s="123"/>
      <c r="O11" s="123"/>
    </row>
    <row r="12" spans="1:15" s="121" customFormat="1" ht="15" customHeight="1" x14ac:dyDescent="0.2">
      <c r="A12" s="29"/>
      <c r="B12" s="234" t="s">
        <v>332</v>
      </c>
      <c r="D12" s="142"/>
      <c r="F12" s="56">
        <v>3.6999999999999998E-2</v>
      </c>
      <c r="G12" s="123"/>
      <c r="H12" s="123"/>
      <c r="I12" s="123"/>
      <c r="J12" s="123"/>
      <c r="K12" s="123"/>
      <c r="L12" s="123"/>
      <c r="M12" s="123"/>
      <c r="N12" s="123"/>
      <c r="O12" s="123"/>
    </row>
    <row r="13" spans="1:15" s="121" customFormat="1" ht="15" customHeight="1" x14ac:dyDescent="0.2">
      <c r="A13" s="29"/>
      <c r="B13" s="234" t="s">
        <v>333</v>
      </c>
      <c r="D13" s="142"/>
      <c r="F13" s="56">
        <v>0.125</v>
      </c>
      <c r="G13" s="123"/>
      <c r="H13" s="123"/>
      <c r="I13" s="123"/>
      <c r="J13" s="123"/>
      <c r="K13" s="123"/>
      <c r="L13" s="123"/>
      <c r="M13" s="123"/>
      <c r="N13" s="123"/>
      <c r="O13" s="123"/>
    </row>
    <row r="14" spans="1:15" s="121" customFormat="1" ht="15" customHeight="1" x14ac:dyDescent="0.2">
      <c r="A14" s="29"/>
      <c r="B14" s="234" t="s">
        <v>334</v>
      </c>
      <c r="D14" s="142"/>
      <c r="F14" s="88">
        <v>0.82</v>
      </c>
      <c r="G14" s="123"/>
      <c r="H14" s="123"/>
      <c r="I14" s="123"/>
      <c r="J14" s="123"/>
      <c r="K14" s="123"/>
      <c r="L14" s="123"/>
      <c r="M14" s="123"/>
      <c r="N14" s="123"/>
      <c r="O14" s="123"/>
    </row>
    <row r="15" spans="1:15" s="121" customFormat="1" ht="15" customHeight="1" x14ac:dyDescent="0.2">
      <c r="A15" s="29"/>
      <c r="B15" s="234" t="s">
        <v>335</v>
      </c>
      <c r="D15" s="142"/>
      <c r="F15" s="56">
        <v>0.7</v>
      </c>
      <c r="G15" s="123"/>
      <c r="H15" s="123"/>
      <c r="I15" s="123"/>
      <c r="J15" s="123"/>
      <c r="K15" s="123"/>
      <c r="L15" s="123"/>
      <c r="M15" s="123"/>
      <c r="N15" s="123"/>
      <c r="O15" s="123"/>
    </row>
    <row r="16" spans="1:15" s="121" customFormat="1" ht="15" customHeight="1" x14ac:dyDescent="0.2">
      <c r="A16" s="29"/>
      <c r="B16" s="234" t="s">
        <v>336</v>
      </c>
      <c r="D16" s="142"/>
      <c r="F16" s="143">
        <f>1-F15</f>
        <v>0.30000000000000004</v>
      </c>
      <c r="G16" s="123"/>
      <c r="H16" s="123"/>
      <c r="I16" s="123"/>
      <c r="J16" s="123"/>
      <c r="K16" s="123"/>
      <c r="L16" s="123"/>
      <c r="M16" s="123"/>
      <c r="N16" s="123"/>
      <c r="O16" s="123"/>
    </row>
    <row r="17" spans="1:15" s="121" customFormat="1" ht="15" customHeight="1" x14ac:dyDescent="0.2">
      <c r="A17" s="29"/>
      <c r="B17" s="234" t="s">
        <v>337</v>
      </c>
      <c r="D17" s="142"/>
      <c r="F17" s="143">
        <f>F12+(F13-F12)*F14</f>
        <v>0.10915999999999998</v>
      </c>
      <c r="G17" s="123"/>
      <c r="H17" s="123"/>
      <c r="I17" s="123"/>
      <c r="J17" s="123"/>
      <c r="K17" s="123"/>
      <c r="L17" s="123"/>
      <c r="M17" s="123"/>
      <c r="N17" s="123"/>
      <c r="O17" s="123"/>
    </row>
    <row r="18" spans="1:15" s="121" customFormat="1" ht="15" customHeight="1" x14ac:dyDescent="0.2">
      <c r="A18" s="29"/>
      <c r="B18" s="234" t="s">
        <v>338</v>
      </c>
      <c r="D18" s="142"/>
      <c r="F18" s="143">
        <f>F10*(1-F11)</f>
        <v>4.0125000000000001E-2</v>
      </c>
      <c r="G18" s="123"/>
      <c r="H18" s="123"/>
      <c r="I18" s="123"/>
      <c r="J18" s="123"/>
      <c r="K18" s="123"/>
      <c r="L18" s="123"/>
      <c r="M18" s="123"/>
      <c r="N18" s="123"/>
      <c r="O18" s="123"/>
    </row>
    <row r="19" spans="1:15" s="121" customFormat="1" ht="15" customHeight="1" x14ac:dyDescent="0.2">
      <c r="A19" s="29"/>
      <c r="B19" s="29" t="s">
        <v>89</v>
      </c>
      <c r="D19" s="142"/>
      <c r="F19" s="250">
        <v>8.7999999999999995E-2</v>
      </c>
      <c r="G19" s="251">
        <f>F15*F17+F16*F18</f>
        <v>8.8449499999999986E-2</v>
      </c>
      <c r="H19" s="123"/>
      <c r="I19" s="123"/>
      <c r="J19" s="123"/>
      <c r="K19" s="123"/>
      <c r="L19" s="123"/>
      <c r="M19" s="123"/>
      <c r="N19" s="123"/>
      <c r="O19" s="123"/>
    </row>
    <row r="20" spans="1:15" s="121" customFormat="1" ht="15" customHeight="1" x14ac:dyDescent="0.2">
      <c r="A20" s="153"/>
      <c r="B20" s="7"/>
      <c r="C20" s="123"/>
      <c r="D20" s="123"/>
      <c r="E20" s="123"/>
      <c r="G20" s="123"/>
      <c r="H20" s="123"/>
      <c r="I20" s="123"/>
      <c r="J20" s="123"/>
      <c r="K20" s="123"/>
      <c r="L20" s="123"/>
      <c r="M20" s="123"/>
      <c r="N20" s="123"/>
      <c r="O20" s="123"/>
    </row>
    <row r="21" spans="1:15" s="121" customFormat="1" ht="15" customHeight="1" x14ac:dyDescent="0.2">
      <c r="A21" s="249" t="s">
        <v>358</v>
      </c>
      <c r="B21" s="247"/>
      <c r="C21" s="123"/>
      <c r="D21" s="123"/>
      <c r="E21" s="123"/>
      <c r="F21" s="123"/>
      <c r="G21" s="123"/>
      <c r="H21" s="123"/>
      <c r="I21" s="123"/>
      <c r="J21" s="123"/>
      <c r="K21" s="123"/>
      <c r="L21" s="123"/>
      <c r="M21" s="123"/>
      <c r="N21" s="123"/>
      <c r="O21" s="123"/>
    </row>
    <row r="22" spans="1:15" s="121" customFormat="1" ht="15" customHeight="1" x14ac:dyDescent="0.2">
      <c r="A22" s="7"/>
      <c r="B22" s="25" t="str">
        <f>IS!B39</f>
        <v>EBIT</v>
      </c>
      <c r="C22" s="12"/>
      <c r="D22" s="12"/>
      <c r="E22" s="12"/>
      <c r="F22" s="12"/>
      <c r="G22" s="12">
        <f>IS!G39</f>
        <v>14383.657418612733</v>
      </c>
      <c r="H22" s="12">
        <f>IS!H39</f>
        <v>14893.565234484769</v>
      </c>
      <c r="I22" s="12">
        <f>IS!I39</f>
        <v>15398.396746053004</v>
      </c>
      <c r="J22" s="12">
        <f>IS!J39</f>
        <v>15898.24761392129</v>
      </c>
      <c r="K22" s="12">
        <f>IS!K39</f>
        <v>16393.191196065174</v>
      </c>
      <c r="L22" s="12">
        <f>IS!L39</f>
        <v>16883.278324664636</v>
      </c>
      <c r="M22" s="12">
        <f>IS!M39</f>
        <v>17383.671763864022</v>
      </c>
      <c r="N22" s="12">
        <f>IS!N39</f>
        <v>17879.241198385611</v>
      </c>
      <c r="O22" s="12">
        <f>IS!O39</f>
        <v>18369.967042969649</v>
      </c>
    </row>
    <row r="23" spans="1:15" s="121" customFormat="1" ht="15" customHeight="1" x14ac:dyDescent="0.2">
      <c r="A23" s="7"/>
      <c r="B23" s="247" t="s">
        <v>339</v>
      </c>
      <c r="C23" s="123"/>
      <c r="D23" s="123"/>
      <c r="E23" s="123"/>
      <c r="F23" s="123"/>
      <c r="G23" s="123">
        <f>-IS!G19*DCF!G22</f>
        <v>-3595.9143546531832</v>
      </c>
      <c r="H23" s="123">
        <f>-IS!H19*DCF!H22</f>
        <v>-3723.3913086211924</v>
      </c>
      <c r="I23" s="123">
        <f>-IS!I19*DCF!I22</f>
        <v>-3849.599186513251</v>
      </c>
      <c r="J23" s="123">
        <f>-IS!J19*DCF!J22</f>
        <v>-3974.5619034803226</v>
      </c>
      <c r="K23" s="123">
        <f>-IS!K19*DCF!K22</f>
        <v>-4098.2977990162935</v>
      </c>
      <c r="L23" s="123">
        <f>-IS!L19*DCF!L22</f>
        <v>-4220.819581166159</v>
      </c>
      <c r="M23" s="123">
        <f>-IS!M19*DCF!M22</f>
        <v>-4345.9179409660055</v>
      </c>
      <c r="N23" s="123">
        <f>-IS!N19*DCF!N22</f>
        <v>-4469.8102995964027</v>
      </c>
      <c r="O23" s="123">
        <f>-IS!O19*DCF!O22</f>
        <v>-4592.4917607424122</v>
      </c>
    </row>
    <row r="24" spans="1:15" s="121" customFormat="1" ht="15" customHeight="1" x14ac:dyDescent="0.2">
      <c r="A24" s="7"/>
      <c r="B24" s="247"/>
      <c r="C24" s="123"/>
      <c r="D24" s="123"/>
      <c r="E24" s="123"/>
      <c r="F24" s="123"/>
      <c r="G24" s="123"/>
      <c r="H24" s="123"/>
      <c r="I24" s="123"/>
      <c r="J24" s="123"/>
      <c r="K24" s="123"/>
      <c r="L24" s="123"/>
      <c r="M24" s="123"/>
      <c r="N24" s="123"/>
      <c r="O24" s="123"/>
    </row>
    <row r="25" spans="1:15" s="121" customFormat="1" ht="15" customHeight="1" x14ac:dyDescent="0.2">
      <c r="A25" s="7"/>
      <c r="B25" s="25" t="s">
        <v>90</v>
      </c>
      <c r="C25" s="12"/>
      <c r="D25" s="12"/>
      <c r="E25" s="12"/>
      <c r="F25" s="12"/>
      <c r="G25" s="12">
        <f t="shared" ref="G25:O25" si="0">G23+G22</f>
        <v>10787.74306395955</v>
      </c>
      <c r="H25" s="12">
        <f t="shared" si="0"/>
        <v>11170.173925863577</v>
      </c>
      <c r="I25" s="12">
        <f t="shared" si="0"/>
        <v>11548.797559539753</v>
      </c>
      <c r="J25" s="12">
        <f t="shared" si="0"/>
        <v>11923.685710440968</v>
      </c>
      <c r="K25" s="12">
        <f t="shared" si="0"/>
        <v>12294.89339704888</v>
      </c>
      <c r="L25" s="12">
        <f t="shared" si="0"/>
        <v>12662.458743498477</v>
      </c>
      <c r="M25" s="12">
        <f t="shared" si="0"/>
        <v>13037.753822898016</v>
      </c>
      <c r="N25" s="12">
        <f t="shared" si="0"/>
        <v>13409.430898789207</v>
      </c>
      <c r="O25" s="12">
        <f t="shared" si="0"/>
        <v>13777.475282227237</v>
      </c>
    </row>
    <row r="26" spans="1:15" s="121" customFormat="1" ht="15" customHeight="1" x14ac:dyDescent="0.2">
      <c r="A26" s="7"/>
      <c r="B26" s="247" t="s">
        <v>340</v>
      </c>
      <c r="C26" s="123"/>
      <c r="D26" s="123"/>
      <c r="E26" s="123"/>
      <c r="F26" s="123"/>
      <c r="G26" s="123">
        <f>CFS!G12</f>
        <v>6137.7739299730447</v>
      </c>
      <c r="H26" s="123">
        <f>CFS!H12</f>
        <v>6083.4562939609123</v>
      </c>
      <c r="I26" s="123">
        <f>CFS!I12</f>
        <v>6031.9482487845671</v>
      </c>
      <c r="J26" s="123">
        <f>CFS!J12</f>
        <v>5982.9727967627277</v>
      </c>
      <c r="K26" s="123">
        <f>CFS!K12</f>
        <v>5936.2607358762079</v>
      </c>
      <c r="L26" s="123">
        <f>CFS!L12</f>
        <v>5891.5497223778948</v>
      </c>
      <c r="M26" s="123">
        <f>CFS!M12</f>
        <v>5848.5833890329523</v>
      </c>
      <c r="N26" s="123">
        <f>CFS!N12</f>
        <v>5807.1105146251984</v>
      </c>
      <c r="O26" s="123">
        <f>CFS!O12</f>
        <v>5766.8842407551447</v>
      </c>
    </row>
    <row r="27" spans="1:15" s="121" customFormat="1" ht="15" customHeight="1" x14ac:dyDescent="0.2">
      <c r="A27" s="7"/>
      <c r="B27" s="247" t="s">
        <v>341</v>
      </c>
      <c r="C27" s="123"/>
      <c r="D27" s="123"/>
      <c r="E27" s="123"/>
      <c r="F27" s="123"/>
      <c r="G27" s="123">
        <f>CFS!G13</f>
        <v>12</v>
      </c>
      <c r="H27" s="123">
        <f>CFS!H13</f>
        <v>12</v>
      </c>
      <c r="I27" s="123">
        <f>CFS!I13</f>
        <v>12</v>
      </c>
      <c r="J27" s="123">
        <f>CFS!J13</f>
        <v>12</v>
      </c>
      <c r="K27" s="123">
        <f>CFS!K13</f>
        <v>12</v>
      </c>
      <c r="L27" s="123">
        <f>CFS!L13</f>
        <v>12</v>
      </c>
      <c r="M27" s="123">
        <f>CFS!M13</f>
        <v>12</v>
      </c>
      <c r="N27" s="123">
        <f>CFS!N13</f>
        <v>12</v>
      </c>
      <c r="O27" s="123">
        <f>CFS!O13</f>
        <v>12</v>
      </c>
    </row>
    <row r="28" spans="1:15" s="121" customFormat="1" ht="15" customHeight="1" x14ac:dyDescent="0.2">
      <c r="A28" s="7"/>
      <c r="B28" s="247" t="s">
        <v>342</v>
      </c>
      <c r="C28" s="123"/>
      <c r="D28" s="123"/>
      <c r="E28" s="123"/>
      <c r="F28" s="123"/>
      <c r="G28" s="123">
        <f>CFS!G17</f>
        <v>-99.85059136037944</v>
      </c>
      <c r="H28" s="123">
        <f>CFS!H17</f>
        <v>-11.626226259899795</v>
      </c>
      <c r="I28" s="123">
        <f>CFS!I17</f>
        <v>-11.62622625990025</v>
      </c>
      <c r="J28" s="123">
        <f>CFS!J17</f>
        <v>-11.62622625990025</v>
      </c>
      <c r="K28" s="123">
        <f>CFS!K17</f>
        <v>-11.626226259899795</v>
      </c>
      <c r="L28" s="123">
        <f>CFS!L17</f>
        <v>-11.626226259899795</v>
      </c>
      <c r="M28" s="123">
        <f>CFS!M17</f>
        <v>-11.989838966280786</v>
      </c>
      <c r="N28" s="123">
        <f>CFS!N17</f>
        <v>-11.989838966279422</v>
      </c>
      <c r="O28" s="123">
        <f>CFS!O17</f>
        <v>-11.989838966279876</v>
      </c>
    </row>
    <row r="29" spans="1:15" s="121" customFormat="1" ht="15" customHeight="1" x14ac:dyDescent="0.2">
      <c r="A29" s="7"/>
      <c r="B29" s="7" t="s">
        <v>343</v>
      </c>
      <c r="C29" s="12"/>
      <c r="D29" s="12"/>
      <c r="E29" s="12"/>
      <c r="F29" s="123"/>
      <c r="G29" s="123">
        <f>CFS!G24</f>
        <v>-605.18210738035339</v>
      </c>
      <c r="H29" s="123">
        <f>CFS!H24</f>
        <v>-678.93609201304139</v>
      </c>
      <c r="I29" s="123">
        <f>CFS!I24</f>
        <v>-745.66164916971059</v>
      </c>
      <c r="J29" s="123">
        <f>CFS!J24</f>
        <v>-805.56574973835086</v>
      </c>
      <c r="K29" s="123">
        <f>CFS!K24</f>
        <v>-858.83120593566377</v>
      </c>
      <c r="L29" s="123">
        <f>CFS!L24</f>
        <v>-905.61811914868804</v>
      </c>
      <c r="M29" s="123">
        <f>CFS!M24</f>
        <v>-946.06521360417048</v>
      </c>
      <c r="N29" s="123">
        <f>CFS!N24</f>
        <v>-980.29106600811633</v>
      </c>
      <c r="O29" s="123">
        <f>CFS!O24</f>
        <v>-1008.3952404892162</v>
      </c>
    </row>
    <row r="30" spans="1:15" s="121" customFormat="1" ht="15" customHeight="1" x14ac:dyDescent="0.2">
      <c r="A30" s="7"/>
      <c r="B30" s="7" t="s">
        <v>344</v>
      </c>
      <c r="C30" s="123"/>
      <c r="D30" s="123"/>
      <c r="E30" s="123"/>
      <c r="F30" s="123"/>
      <c r="G30" s="123">
        <f>CFS!G25</f>
        <v>-12</v>
      </c>
      <c r="H30" s="123">
        <f>CFS!H25</f>
        <v>-12</v>
      </c>
      <c r="I30" s="123">
        <f>CFS!I25</f>
        <v>-12</v>
      </c>
      <c r="J30" s="123">
        <f>CFS!J25</f>
        <v>-12</v>
      </c>
      <c r="K30" s="123">
        <f>CFS!K25</f>
        <v>-12</v>
      </c>
      <c r="L30" s="123">
        <f>CFS!L25</f>
        <v>-12</v>
      </c>
      <c r="M30" s="123">
        <f>CFS!M25</f>
        <v>-12</v>
      </c>
      <c r="N30" s="123">
        <f>CFS!N25</f>
        <v>-12</v>
      </c>
      <c r="O30" s="123">
        <f>CFS!O25</f>
        <v>-12</v>
      </c>
    </row>
    <row r="31" spans="1:15" s="121" customFormat="1" ht="15" customHeight="1" x14ac:dyDescent="0.2">
      <c r="A31" s="153"/>
      <c r="B31" s="25" t="s">
        <v>345</v>
      </c>
      <c r="C31" s="123"/>
      <c r="D31" s="123"/>
      <c r="E31" s="123"/>
      <c r="F31" s="15"/>
      <c r="G31" s="15">
        <f t="shared" ref="G31:O31" si="1">SUM(G25:G30)</f>
        <v>16220.48429519186</v>
      </c>
      <c r="H31" s="15">
        <f t="shared" si="1"/>
        <v>16563.067901551545</v>
      </c>
      <c r="I31" s="15">
        <f t="shared" si="1"/>
        <v>16823.457932894707</v>
      </c>
      <c r="J31" s="15">
        <f t="shared" si="1"/>
        <v>17089.466531205446</v>
      </c>
      <c r="K31" s="15">
        <f t="shared" si="1"/>
        <v>17360.696700729521</v>
      </c>
      <c r="L31" s="15">
        <f t="shared" si="1"/>
        <v>17636.764120467786</v>
      </c>
      <c r="M31" s="15">
        <f t="shared" si="1"/>
        <v>17928.282159360515</v>
      </c>
      <c r="N31" s="15">
        <f t="shared" si="1"/>
        <v>18224.260508440006</v>
      </c>
      <c r="O31" s="15">
        <f t="shared" si="1"/>
        <v>18523.974443526884</v>
      </c>
    </row>
    <row r="32" spans="1:15" s="121" customFormat="1" ht="15" customHeight="1" x14ac:dyDescent="0.2">
      <c r="A32" s="7"/>
      <c r="B32" s="247"/>
      <c r="C32" s="123"/>
      <c r="D32" s="123"/>
      <c r="E32" s="123"/>
      <c r="F32" s="123"/>
      <c r="G32" s="123"/>
      <c r="H32" s="143">
        <f>H31/G31-1</f>
        <v>2.1120430199561557E-2</v>
      </c>
      <c r="I32" s="143">
        <f t="shared" ref="I32:O32" si="2">I31/H31-1</f>
        <v>1.5721123217684152E-2</v>
      </c>
      <c r="J32" s="143">
        <f t="shared" si="2"/>
        <v>1.5811767079740191E-2</v>
      </c>
      <c r="K32" s="143">
        <f t="shared" si="2"/>
        <v>1.5871189953694964E-2</v>
      </c>
      <c r="L32" s="143">
        <f t="shared" si="2"/>
        <v>1.5901862954996737E-2</v>
      </c>
      <c r="M32" s="143">
        <f t="shared" si="2"/>
        <v>1.6528998001079875E-2</v>
      </c>
      <c r="N32" s="143">
        <f t="shared" si="2"/>
        <v>1.6509018903685613E-2</v>
      </c>
      <c r="O32" s="143">
        <f t="shared" si="2"/>
        <v>1.6445876360693834E-2</v>
      </c>
    </row>
    <row r="33" spans="1:16" ht="15" customHeight="1" x14ac:dyDescent="0.2">
      <c r="A33" s="5" t="s">
        <v>91</v>
      </c>
      <c r="B33" s="248"/>
      <c r="C33" s="123"/>
      <c r="D33" s="123"/>
      <c r="E33" s="123"/>
      <c r="F33" s="123"/>
      <c r="G33" s="123"/>
      <c r="H33" s="123"/>
      <c r="I33" s="123"/>
      <c r="J33" s="123"/>
      <c r="K33" s="123"/>
      <c r="L33" s="123"/>
      <c r="M33" s="123"/>
      <c r="N33" s="123"/>
      <c r="O33" s="123"/>
      <c r="P33" s="121"/>
    </row>
    <row r="34" spans="1:16" ht="15" customHeight="1" x14ac:dyDescent="0.2">
      <c r="A34" s="6"/>
      <c r="B34" s="246" t="s">
        <v>346</v>
      </c>
      <c r="C34" s="123"/>
      <c r="D34" s="123"/>
      <c r="E34" s="123"/>
      <c r="F34" s="8"/>
      <c r="G34" s="8">
        <v>0.5</v>
      </c>
      <c r="H34" s="8">
        <v>1.5</v>
      </c>
      <c r="I34" s="8">
        <v>2.5</v>
      </c>
      <c r="J34" s="8">
        <v>3.5</v>
      </c>
      <c r="K34" s="8">
        <v>4.5</v>
      </c>
      <c r="L34" s="8">
        <v>5.5</v>
      </c>
      <c r="M34" s="8">
        <v>6.5</v>
      </c>
      <c r="N34" s="8">
        <v>7.5</v>
      </c>
      <c r="O34" s="8">
        <v>8.5</v>
      </c>
      <c r="P34" s="121"/>
    </row>
    <row r="35" spans="1:16" ht="15" customHeight="1" x14ac:dyDescent="0.2">
      <c r="A35" s="6"/>
      <c r="B35" s="246" t="s">
        <v>347</v>
      </c>
      <c r="C35" s="123"/>
      <c r="D35" s="12"/>
      <c r="E35" s="12"/>
      <c r="F35" s="145"/>
      <c r="G35" s="145">
        <f t="shared" ref="G35:O35" si="3">1/(1+wacc)^G34</f>
        <v>0.9587062360592129</v>
      </c>
      <c r="H35" s="145">
        <f t="shared" si="3"/>
        <v>0.88116381990736481</v>
      </c>
      <c r="I35" s="145">
        <f t="shared" si="3"/>
        <v>0.80989321682662208</v>
      </c>
      <c r="J35" s="145">
        <f t="shared" si="3"/>
        <v>0.74438714781858639</v>
      </c>
      <c r="K35" s="145">
        <f t="shared" si="3"/>
        <v>0.6841793638038477</v>
      </c>
      <c r="L35" s="145">
        <f t="shared" si="3"/>
        <v>0.62884132702559525</v>
      </c>
      <c r="M35" s="145">
        <f t="shared" si="3"/>
        <v>0.57797916086911327</v>
      </c>
      <c r="N35" s="145">
        <f t="shared" si="3"/>
        <v>0.53123084638705265</v>
      </c>
      <c r="O35" s="145">
        <f t="shared" si="3"/>
        <v>0.48826364557633506</v>
      </c>
      <c r="P35" s="121"/>
    </row>
    <row r="36" spans="1:16" ht="15" customHeight="1" x14ac:dyDescent="0.2">
      <c r="A36" s="6"/>
      <c r="B36" s="246" t="s">
        <v>348</v>
      </c>
      <c r="C36" s="123"/>
      <c r="D36" s="123"/>
      <c r="E36" s="123"/>
      <c r="F36" s="123"/>
      <c r="G36" s="123">
        <f t="shared" ref="G36:O36" si="4">G31*G35</f>
        <v>15550.679445700964</v>
      </c>
      <c r="H36" s="123">
        <f t="shared" si="4"/>
        <v>14594.776181516221</v>
      </c>
      <c r="I36" s="123">
        <f t="shared" si="4"/>
        <v>13625.204463419448</v>
      </c>
      <c r="J36" s="123">
        <f t="shared" si="4"/>
        <v>12721.179248905213</v>
      </c>
      <c r="K36" s="123">
        <f t="shared" si="4"/>
        <v>11877.830423896681</v>
      </c>
      <c r="L36" s="123">
        <f t="shared" si="4"/>
        <v>11090.726153952368</v>
      </c>
      <c r="M36" s="123">
        <f t="shared" si="4"/>
        <v>10362.173478291885</v>
      </c>
      <c r="N36" s="123">
        <f t="shared" si="4"/>
        <v>9681.2893346767232</v>
      </c>
      <c r="O36" s="123">
        <f t="shared" si="4"/>
        <v>9044.5832923592989</v>
      </c>
      <c r="P36" s="121"/>
    </row>
    <row r="37" spans="1:16" ht="15" customHeight="1" x14ac:dyDescent="0.2">
      <c r="A37" s="6"/>
      <c r="B37" s="248"/>
      <c r="C37" s="123"/>
      <c r="D37" s="123"/>
      <c r="E37" s="123"/>
      <c r="F37" s="123"/>
      <c r="G37" s="123"/>
      <c r="H37" s="123"/>
      <c r="I37" s="123"/>
      <c r="J37" s="123"/>
      <c r="K37" s="123"/>
      <c r="L37" s="123"/>
      <c r="M37" s="123"/>
      <c r="N37" s="123"/>
      <c r="O37" s="123"/>
      <c r="P37" s="121"/>
    </row>
    <row r="38" spans="1:16" ht="15" customHeight="1" x14ac:dyDescent="0.2">
      <c r="A38" s="121"/>
      <c r="B38" s="244" t="s">
        <v>359</v>
      </c>
      <c r="C38" s="121"/>
      <c r="D38" s="123"/>
      <c r="E38" s="123"/>
      <c r="F38" s="252">
        <v>6.0000000000000001E-3</v>
      </c>
      <c r="G38" s="123"/>
      <c r="H38" s="123"/>
      <c r="I38" s="123"/>
      <c r="J38" s="123"/>
      <c r="K38" s="123"/>
      <c r="L38" s="123"/>
      <c r="M38" s="123"/>
      <c r="N38" s="233"/>
      <c r="O38" s="123"/>
      <c r="P38" s="121"/>
    </row>
    <row r="39" spans="1:16" ht="15" customHeight="1" x14ac:dyDescent="0.2">
      <c r="B39" s="246" t="s">
        <v>349</v>
      </c>
      <c r="D39" s="123"/>
      <c r="E39" s="123"/>
      <c r="F39" s="123"/>
      <c r="G39" s="123"/>
      <c r="H39" s="123"/>
      <c r="I39" s="123"/>
      <c r="J39" s="123"/>
      <c r="K39" s="123"/>
      <c r="L39" s="123"/>
      <c r="M39" s="123"/>
      <c r="N39" s="123"/>
      <c r="O39" s="123">
        <f>O31*(1+g)/(wacc-g)</f>
        <v>227257.54012424449</v>
      </c>
      <c r="P39" s="121"/>
    </row>
    <row r="40" spans="1:16" ht="15" customHeight="1" x14ac:dyDescent="0.2">
      <c r="B40" s="246"/>
      <c r="C40" s="123"/>
      <c r="D40" s="123"/>
      <c r="E40" s="123"/>
      <c r="F40" s="123"/>
      <c r="G40" s="123"/>
      <c r="H40" s="123"/>
      <c r="I40" s="123"/>
      <c r="J40" s="123"/>
      <c r="K40" s="123"/>
      <c r="L40" s="123"/>
      <c r="M40" s="123"/>
      <c r="N40" s="123"/>
      <c r="O40" s="123"/>
      <c r="P40" s="121"/>
    </row>
    <row r="41" spans="1:16" ht="15" customHeight="1" x14ac:dyDescent="0.2">
      <c r="B41" s="246" t="s">
        <v>350</v>
      </c>
      <c r="C41" s="123"/>
      <c r="D41" s="123"/>
      <c r="E41" s="121"/>
      <c r="F41" s="123">
        <f>O39*O35</f>
        <v>110961.59502577386</v>
      </c>
      <c r="G41" s="143">
        <f>F41/$F$43</f>
        <v>0.50549668032382955</v>
      </c>
      <c r="H41" s="123"/>
      <c r="I41" s="123"/>
      <c r="J41" s="123"/>
      <c r="K41" s="123"/>
      <c r="L41" s="123"/>
      <c r="M41" s="123"/>
      <c r="N41" s="123"/>
      <c r="O41" s="123"/>
      <c r="P41" s="121"/>
    </row>
    <row r="42" spans="1:16" ht="15" customHeight="1" x14ac:dyDescent="0.2">
      <c r="B42" s="253" t="s">
        <v>360</v>
      </c>
      <c r="C42" s="123"/>
      <c r="D42" s="123"/>
      <c r="E42" s="121"/>
      <c r="F42" s="123">
        <f>SUM(G36:O36)</f>
        <v>108548.44202271878</v>
      </c>
      <c r="G42" s="143">
        <f>F42/$F$43</f>
        <v>0.49450331967617045</v>
      </c>
      <c r="H42" s="123"/>
      <c r="I42" s="123"/>
      <c r="J42" s="123"/>
      <c r="K42" s="123"/>
      <c r="L42" s="123"/>
      <c r="M42" s="123"/>
      <c r="N42" s="123"/>
      <c r="O42" s="123"/>
      <c r="P42" s="121"/>
    </row>
    <row r="43" spans="1:16" ht="15" customHeight="1" x14ac:dyDescent="0.2">
      <c r="B43" s="15" t="s">
        <v>351</v>
      </c>
      <c r="C43" s="12"/>
      <c r="D43" s="123"/>
      <c r="E43" s="121"/>
      <c r="F43" s="12">
        <f>SUM(F41:F42)</f>
        <v>219510.03704849264</v>
      </c>
      <c r="G43" s="123"/>
      <c r="H43" s="123"/>
      <c r="I43" s="123"/>
      <c r="J43" s="123"/>
      <c r="K43" s="123"/>
      <c r="L43" s="123"/>
      <c r="M43" s="123"/>
      <c r="N43" s="123"/>
      <c r="O43" s="123"/>
      <c r="P43" s="121"/>
    </row>
    <row r="44" spans="1:16" ht="15" customHeight="1" x14ac:dyDescent="0.2">
      <c r="B44" s="246"/>
      <c r="C44" s="123"/>
      <c r="D44" s="123"/>
      <c r="E44" s="123"/>
      <c r="F44" s="123"/>
      <c r="G44" s="123"/>
      <c r="H44" s="123"/>
      <c r="I44" s="123"/>
      <c r="J44" s="123"/>
      <c r="K44" s="123"/>
      <c r="L44" s="123"/>
      <c r="M44" s="123"/>
      <c r="N44" s="123"/>
      <c r="O44" s="123"/>
      <c r="P44" s="121"/>
    </row>
    <row r="45" spans="1:16" ht="15" customHeight="1" x14ac:dyDescent="0.2">
      <c r="B45" s="246" t="s">
        <v>352</v>
      </c>
      <c r="C45" s="123"/>
      <c r="D45" s="123"/>
      <c r="E45" s="123"/>
      <c r="F45" s="123">
        <f ca="1">BS!F11</f>
        <v>1108.1653161185063</v>
      </c>
      <c r="G45" s="123"/>
      <c r="H45" s="123"/>
      <c r="I45" s="123"/>
      <c r="J45" s="123"/>
      <c r="K45" s="123"/>
      <c r="L45" s="123"/>
      <c r="M45" s="123"/>
      <c r="N45" s="123"/>
      <c r="O45" s="123"/>
      <c r="P45" s="121"/>
    </row>
    <row r="46" spans="1:16" ht="15" customHeight="1" x14ac:dyDescent="0.2">
      <c r="B46" s="246" t="s">
        <v>353</v>
      </c>
      <c r="C46" s="123"/>
      <c r="D46" s="123"/>
      <c r="E46" s="123"/>
      <c r="F46" s="123">
        <f>BS!F16</f>
        <v>11048.392198670001</v>
      </c>
      <c r="G46" s="123"/>
      <c r="H46" s="123"/>
      <c r="I46" s="123"/>
      <c r="J46" s="123"/>
      <c r="K46" s="123"/>
      <c r="L46" s="123"/>
      <c r="M46" s="123"/>
      <c r="N46" s="123"/>
      <c r="O46" s="123"/>
      <c r="P46" s="121"/>
    </row>
    <row r="47" spans="1:16" ht="15" customHeight="1" x14ac:dyDescent="0.2">
      <c r="B47" s="246" t="s">
        <v>354</v>
      </c>
      <c r="C47" s="123"/>
      <c r="D47" s="123"/>
      <c r="E47" s="123"/>
      <c r="F47" s="123">
        <f ca="1">Financing!F35</f>
        <v>95917.208806630006</v>
      </c>
      <c r="G47" s="121"/>
      <c r="H47" s="121"/>
      <c r="I47" s="121"/>
      <c r="J47" s="121"/>
      <c r="K47" s="121"/>
      <c r="L47" s="121"/>
      <c r="M47" s="121"/>
      <c r="N47" s="121"/>
      <c r="O47" s="121"/>
      <c r="P47" s="121"/>
    </row>
    <row r="48" spans="1:16" ht="15" customHeight="1" x14ac:dyDescent="0.2">
      <c r="B48" s="15" t="s">
        <v>355</v>
      </c>
      <c r="C48" s="12"/>
      <c r="D48" s="123"/>
      <c r="E48" s="12"/>
      <c r="F48" s="15">
        <f ca="1">SUM(F43,F45:F46)-F47</f>
        <v>135749.38575665117</v>
      </c>
      <c r="G48" s="121"/>
      <c r="H48" s="121"/>
      <c r="I48" s="121"/>
      <c r="J48" s="121"/>
      <c r="K48" s="121"/>
      <c r="L48" s="121"/>
      <c r="M48" s="121"/>
      <c r="N48" s="121"/>
      <c r="O48" s="121"/>
      <c r="P48" s="121"/>
    </row>
    <row r="49" spans="1:16" ht="15" customHeight="1" x14ac:dyDescent="0.2">
      <c r="B49" s="246"/>
      <c r="C49" s="123"/>
      <c r="D49" s="123"/>
      <c r="E49" s="123"/>
      <c r="F49" s="121"/>
      <c r="G49" s="121"/>
      <c r="H49" s="121"/>
      <c r="I49" s="121"/>
      <c r="J49" s="121"/>
      <c r="K49" s="121"/>
      <c r="L49" s="121"/>
      <c r="M49" s="121"/>
      <c r="N49" s="121"/>
      <c r="O49" s="121"/>
      <c r="P49" s="121"/>
    </row>
    <row r="50" spans="1:16" ht="15" customHeight="1" x14ac:dyDescent="0.2">
      <c r="B50" s="246" t="s">
        <v>356</v>
      </c>
      <c r="C50" s="123"/>
      <c r="D50" s="123"/>
      <c r="E50" s="121"/>
      <c r="F50" s="123">
        <f>Financing!F46</f>
        <v>10963.675837139643</v>
      </c>
      <c r="G50" s="121"/>
      <c r="H50" s="121"/>
      <c r="I50" s="121"/>
      <c r="J50" s="121"/>
      <c r="K50" s="121"/>
      <c r="L50" s="121"/>
      <c r="M50" s="121"/>
      <c r="N50" s="121"/>
      <c r="O50" s="121"/>
      <c r="P50" s="121"/>
    </row>
    <row r="51" spans="1:16" ht="15" customHeight="1" x14ac:dyDescent="0.2">
      <c r="B51" s="15" t="s">
        <v>357</v>
      </c>
      <c r="C51" s="12"/>
      <c r="D51" s="123"/>
      <c r="E51" s="123"/>
      <c r="F51" s="118">
        <f ca="1">F48/F50</f>
        <v>12.381740191259373</v>
      </c>
      <c r="G51" s="121"/>
      <c r="H51" s="121"/>
      <c r="I51" s="121"/>
      <c r="J51" s="121"/>
      <c r="K51" s="121"/>
      <c r="L51" s="121"/>
      <c r="M51" s="121"/>
      <c r="N51" s="121"/>
      <c r="O51" s="121"/>
      <c r="P51" s="121"/>
    </row>
    <row r="52" spans="1:16" ht="12.75" x14ac:dyDescent="0.2">
      <c r="A52" s="121"/>
      <c r="B52" s="247"/>
      <c r="C52" s="123"/>
      <c r="D52" s="123"/>
      <c r="E52" s="123"/>
      <c r="F52" s="123"/>
      <c r="G52" s="121"/>
      <c r="H52" s="121"/>
      <c r="I52" s="121"/>
      <c r="J52" s="121"/>
      <c r="K52" s="121"/>
      <c r="L52" s="121"/>
      <c r="M52" s="121"/>
      <c r="N52" s="121"/>
      <c r="O52" s="121"/>
      <c r="P52" s="121"/>
    </row>
    <row r="53" spans="1:16" ht="12.75" x14ac:dyDescent="0.2">
      <c r="A53" s="238" t="s">
        <v>92</v>
      </c>
      <c r="B53" s="247"/>
      <c r="C53" s="123"/>
      <c r="D53" s="123"/>
      <c r="E53" s="123"/>
      <c r="F53" s="123"/>
      <c r="G53" s="123"/>
      <c r="H53" s="123"/>
      <c r="I53" s="123"/>
      <c r="J53" s="123"/>
      <c r="K53" s="121"/>
      <c r="L53" s="121"/>
      <c r="M53" s="121"/>
      <c r="N53" s="121"/>
      <c r="O53" s="121"/>
      <c r="P53" s="121"/>
    </row>
    <row r="54" spans="1:16" ht="12.75" x14ac:dyDescent="0.2">
      <c r="A54" s="121"/>
      <c r="B54" s="248"/>
      <c r="C54" s="121"/>
      <c r="D54" s="260" t="str">
        <f>B19</f>
        <v>WACC</v>
      </c>
      <c r="E54" s="261"/>
      <c r="F54" s="261"/>
      <c r="G54" s="261"/>
      <c r="H54" s="261"/>
      <c r="I54" s="261"/>
      <c r="J54" s="262"/>
      <c r="K54" s="121"/>
      <c r="L54" s="121"/>
      <c r="M54" s="121"/>
      <c r="N54" s="121"/>
      <c r="O54" s="121"/>
      <c r="P54" s="121"/>
    </row>
    <row r="55" spans="1:16" ht="12.75" x14ac:dyDescent="0.2">
      <c r="A55" s="121"/>
      <c r="B55" s="248"/>
      <c r="C55" s="158">
        <f ca="1">F51</f>
        <v>12.381740191259373</v>
      </c>
      <c r="D55" s="38">
        <v>7.9000000000000001E-2</v>
      </c>
      <c r="E55" s="38">
        <v>8.2000000000000003E-2</v>
      </c>
      <c r="F55" s="38">
        <v>8.5000000000000006E-2</v>
      </c>
      <c r="G55" s="38">
        <v>8.8000000000000009E-2</v>
      </c>
      <c r="H55" s="38">
        <v>9.0999999999999998E-2</v>
      </c>
      <c r="I55" s="38">
        <v>9.4E-2</v>
      </c>
      <c r="J55" s="38">
        <v>9.7000000000000003E-2</v>
      </c>
      <c r="K55" s="121"/>
      <c r="L55" s="121"/>
      <c r="M55" s="121"/>
      <c r="N55" s="121"/>
      <c r="O55" s="121"/>
      <c r="P55" s="121"/>
    </row>
    <row r="56" spans="1:16" ht="12.75" x14ac:dyDescent="0.2">
      <c r="A56" s="121"/>
      <c r="B56" s="263" t="s">
        <v>361</v>
      </c>
      <c r="C56" s="38">
        <v>0</v>
      </c>
      <c r="D56" s="145">
        <f t="dataTable" ref="D56:J62" dt2D="1" dtr="0" r1="F19" r2="F38" ca="1"/>
        <v>13.808358896599234</v>
      </c>
      <c r="E56" s="145">
        <v>13.030774568140329</v>
      </c>
      <c r="F56" s="145">
        <v>12.308349325194376</v>
      </c>
      <c r="G56" s="145">
        <v>11.635435799162664</v>
      </c>
      <c r="H56" s="145">
        <v>11.007131477975983</v>
      </c>
      <c r="I56" s="145">
        <v>10.419159841954105</v>
      </c>
      <c r="J56" s="145">
        <v>9.8677735570515459</v>
      </c>
      <c r="K56" s="121"/>
      <c r="L56" s="121"/>
      <c r="M56" s="121"/>
      <c r="N56" s="121"/>
      <c r="O56" s="121"/>
      <c r="P56" s="121"/>
    </row>
    <row r="57" spans="1:16" ht="12.75" x14ac:dyDescent="0.2">
      <c r="A57" s="121"/>
      <c r="B57" s="264"/>
      <c r="C57" s="38">
        <v>2E-3</v>
      </c>
      <c r="D57" s="145">
        <v>14.122430976760782</v>
      </c>
      <c r="E57" s="145">
        <v>13.316007514051098</v>
      </c>
      <c r="F57" s="145">
        <v>12.568118687395387</v>
      </c>
      <c r="G57" s="145">
        <v>11.872633319131387</v>
      </c>
      <c r="H57" s="145">
        <v>11.224247040499399</v>
      </c>
      <c r="I57" s="145">
        <v>10.618347482205035</v>
      </c>
      <c r="J57" s="145">
        <v>10.050905007933093</v>
      </c>
      <c r="K57" s="121"/>
      <c r="L57" s="121"/>
      <c r="M57" s="121"/>
      <c r="N57" s="121"/>
      <c r="O57" s="121"/>
      <c r="P57" s="121"/>
    </row>
    <row r="58" spans="1:16" ht="12.75" x14ac:dyDescent="0.2">
      <c r="A58" s="121"/>
      <c r="B58" s="264"/>
      <c r="C58" s="38">
        <v>4.0000000000000001E-3</v>
      </c>
      <c r="D58" s="145">
        <v>14.453253567864277</v>
      </c>
      <c r="E58" s="145">
        <v>13.615867790521397</v>
      </c>
      <c r="F58" s="146">
        <v>12.840716166248297</v>
      </c>
      <c r="G58" s="146">
        <v>12.121125959098615</v>
      </c>
      <c r="H58" s="146">
        <v>11.451344927736537</v>
      </c>
      <c r="I58" s="145">
        <v>10.82638790646712</v>
      </c>
      <c r="J58" s="145">
        <v>10.24191308035793</v>
      </c>
      <c r="K58" s="121"/>
      <c r="L58" s="121"/>
      <c r="M58" s="121"/>
      <c r="N58" s="121"/>
      <c r="O58" s="121"/>
      <c r="P58" s="121"/>
    </row>
    <row r="59" spans="1:16" ht="12.75" x14ac:dyDescent="0.2">
      <c r="A59" s="121"/>
      <c r="B59" s="264"/>
      <c r="C59" s="38">
        <v>6.0000000000000001E-3</v>
      </c>
      <c r="D59" s="145">
        <v>14.802203424233717</v>
      </c>
      <c r="E59" s="145">
        <v>13.931510186805927</v>
      </c>
      <c r="F59" s="146">
        <v>13.127116049093765</v>
      </c>
      <c r="G59" s="146">
        <v>12.381740191259373</v>
      </c>
      <c r="H59" s="146">
        <v>11.68912977437307</v>
      </c>
      <c r="I59" s="145">
        <v>11.043884713650213</v>
      </c>
      <c r="J59" s="145">
        <v>10.441317112010232</v>
      </c>
      <c r="K59" s="121"/>
      <c r="L59" s="121"/>
      <c r="M59" s="121"/>
      <c r="N59" s="121"/>
      <c r="O59" s="121"/>
      <c r="P59" s="121"/>
    </row>
    <row r="60" spans="1:16" ht="12.75" x14ac:dyDescent="0.2">
      <c r="A60" s="121"/>
      <c r="B60" s="264"/>
      <c r="C60" s="38">
        <v>8.0000000000000002E-3</v>
      </c>
      <c r="D60" s="145">
        <v>15.170812427440872</v>
      </c>
      <c r="E60" s="145">
        <v>14.264214334240966</v>
      </c>
      <c r="F60" s="146">
        <v>13.428393847931202</v>
      </c>
      <c r="G60" s="146">
        <v>12.655385135028162</v>
      </c>
      <c r="H60" s="146">
        <v>11.938374131690878</v>
      </c>
      <c r="I60" s="145">
        <v>11.27149765139996</v>
      </c>
      <c r="J60" s="145">
        <v>10.649683122613201</v>
      </c>
      <c r="K60" s="121"/>
      <c r="L60" s="121"/>
      <c r="M60" s="121"/>
      <c r="N60" s="121"/>
      <c r="O60" s="121"/>
      <c r="P60" s="121"/>
    </row>
    <row r="61" spans="1:16" ht="12.75" x14ac:dyDescent="0.2">
      <c r="A61" s="121"/>
      <c r="B61" s="264"/>
      <c r="C61" s="38">
        <v>0.01</v>
      </c>
      <c r="D61" s="145">
        <v>15.560790068515109</v>
      </c>
      <c r="E61" s="145">
        <v>14.615402045422394</v>
      </c>
      <c r="F61" s="145">
        <v>13.74573979603997</v>
      </c>
      <c r="G61" s="145">
        <v>12.943063152836377</v>
      </c>
      <c r="H61" s="145">
        <v>12.199926852333023</v>
      </c>
      <c r="I61" s="145">
        <v>11.509949300471119</v>
      </c>
      <c r="J61" s="145">
        <v>10.867629179680669</v>
      </c>
      <c r="K61" s="121"/>
      <c r="L61" s="121"/>
      <c r="M61" s="121"/>
      <c r="N61" s="121"/>
      <c r="O61" s="121"/>
      <c r="P61" s="121"/>
    </row>
    <row r="62" spans="1:16" ht="12.75" x14ac:dyDescent="0.2">
      <c r="A62" s="121"/>
      <c r="B62" s="265"/>
      <c r="C62" s="38">
        <v>1.2E-2</v>
      </c>
      <c r="D62" s="145">
        <v>15.974049956817659</v>
      </c>
      <c r="E62" s="145">
        <v>14.986657625814196</v>
      </c>
      <c r="F62" s="145">
        <v>14.080474563223193</v>
      </c>
      <c r="G62" s="145">
        <v>13.245882118950288</v>
      </c>
      <c r="H62" s="145">
        <v>12.474722748703886</v>
      </c>
      <c r="I62" s="145">
        <v>11.760032737301849</v>
      </c>
      <c r="J62" s="145">
        <v>11.095831521786611</v>
      </c>
      <c r="K62" s="121"/>
      <c r="L62" s="121"/>
      <c r="M62" s="121"/>
      <c r="N62" s="121"/>
      <c r="O62" s="121"/>
      <c r="P62" s="121"/>
    </row>
  </sheetData>
  <mergeCells count="2">
    <mergeCell ref="D54:J54"/>
    <mergeCell ref="B56:B62"/>
  </mergeCells>
  <phoneticPr fontId="2" type="noConversion"/>
  <printOptions horizontalCentered="1" verticalCentered="1" headings="1"/>
  <pageMargins left="0.74803149606299213" right="0.74803149606299213" top="0.98425196850393704" bottom="0.98425196850393704" header="0.51181102362204722" footer="0.51181102362204722"/>
  <pageSetup paperSize="9" scale="52" orientation="landscape" blackAndWhite="1" verticalDpi="1200" r:id="rId1"/>
  <headerFooter alignWithMargins="0">
    <oddHeader>&amp;L&amp;"宋体,常规"诚迅金融培训&amp;Rwww.chainshine.com</oddHeader>
    <oddFooter>第 &amp;P 页，共 &amp;N 页</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0">
    <pageSetUpPr fitToPage="1"/>
  </sheetPr>
  <dimension ref="A1:U71"/>
  <sheetViews>
    <sheetView showGridLines="0" workbookViewId="0">
      <pane ySplit="5" topLeftCell="A6" activePane="bottomLeft" state="frozen"/>
      <selection sqref="A1:O33"/>
      <selection pane="bottomLeft" activeCell="A6" sqref="A6"/>
    </sheetView>
  </sheetViews>
  <sheetFormatPr defaultColWidth="0" defaultRowHeight="15" customHeight="1" x14ac:dyDescent="0.2"/>
  <cols>
    <col min="1" max="1" width="1.7109375" style="121" customWidth="1"/>
    <col min="2" max="2" width="27.7109375" style="121" customWidth="1"/>
    <col min="3" max="3" width="12.7109375" style="121" customWidth="1"/>
    <col min="4" max="4" width="2.7109375" style="121" customWidth="1"/>
    <col min="5" max="18" width="12.7109375" style="121" customWidth="1"/>
    <col min="19" max="21" width="9.140625" style="121" customWidth="1"/>
    <col min="22" max="22" width="1.7109375" style="121" customWidth="1"/>
    <col min="23" max="16384" width="0" style="121" hidden="1"/>
  </cols>
  <sheetData>
    <row r="1" spans="1:21" ht="24" customHeight="1" x14ac:dyDescent="0.3">
      <c r="A1" s="110" t="s">
        <v>77</v>
      </c>
      <c r="B1" s="120"/>
      <c r="C1" s="111"/>
      <c r="D1" s="111"/>
      <c r="E1" s="111"/>
      <c r="F1" s="111"/>
      <c r="G1" s="111"/>
      <c r="H1" s="111"/>
      <c r="I1" s="111"/>
      <c r="J1" s="111"/>
      <c r="K1" s="111"/>
      <c r="L1" s="111"/>
      <c r="M1" s="111"/>
      <c r="N1" s="111"/>
      <c r="O1" s="111"/>
      <c r="P1" s="111"/>
      <c r="Q1" s="111"/>
      <c r="R1" s="111"/>
      <c r="S1" s="111"/>
      <c r="T1" s="111"/>
      <c r="U1" s="111"/>
    </row>
    <row r="2" spans="1:21" ht="2.1" customHeight="1" x14ac:dyDescent="0.2">
      <c r="A2" s="209"/>
      <c r="B2" s="147"/>
      <c r="C2" s="112"/>
      <c r="D2" s="112"/>
      <c r="E2" s="112"/>
      <c r="F2" s="112"/>
      <c r="G2" s="112"/>
      <c r="H2" s="112"/>
      <c r="I2" s="112"/>
      <c r="J2" s="112"/>
      <c r="K2" s="112"/>
      <c r="L2" s="112"/>
      <c r="M2" s="112"/>
      <c r="N2" s="112"/>
      <c r="O2" s="112"/>
      <c r="P2" s="112"/>
      <c r="Q2" s="112"/>
      <c r="R2" s="112"/>
      <c r="S2" s="112"/>
      <c r="T2" s="112"/>
      <c r="U2" s="112"/>
    </row>
    <row r="3" spans="1:21" ht="18" customHeight="1" x14ac:dyDescent="0.25">
      <c r="A3" s="210" t="s">
        <v>245</v>
      </c>
      <c r="B3" s="172"/>
      <c r="C3" s="172"/>
      <c r="D3" s="173"/>
      <c r="E3" s="173"/>
      <c r="F3" s="173"/>
      <c r="G3" s="173"/>
      <c r="H3" s="173"/>
      <c r="I3" s="173"/>
      <c r="J3" s="173"/>
      <c r="K3" s="173"/>
      <c r="L3" s="173"/>
      <c r="M3" s="173"/>
      <c r="N3" s="173"/>
      <c r="O3" s="173"/>
      <c r="P3" s="173"/>
      <c r="Q3" s="173"/>
      <c r="R3" s="173"/>
      <c r="S3" s="173"/>
      <c r="T3" s="173"/>
      <c r="U3" s="173"/>
    </row>
    <row r="4" spans="1:21" ht="2.1" customHeight="1" x14ac:dyDescent="0.2">
      <c r="A4" s="174"/>
      <c r="B4" s="175"/>
      <c r="C4" s="175"/>
      <c r="D4" s="176"/>
      <c r="E4" s="176"/>
      <c r="F4" s="176"/>
      <c r="G4" s="176"/>
      <c r="H4" s="176"/>
      <c r="I4" s="176"/>
      <c r="J4" s="176"/>
      <c r="K4" s="176"/>
      <c r="L4" s="176"/>
      <c r="M4" s="108" t="s">
        <v>75</v>
      </c>
      <c r="N4" s="108" t="s">
        <v>75</v>
      </c>
      <c r="O4" s="108" t="s">
        <v>75</v>
      </c>
    </row>
    <row r="5" spans="1:21" ht="15" customHeight="1" x14ac:dyDescent="0.2">
      <c r="A5" s="113" t="s">
        <v>76</v>
      </c>
      <c r="C5" s="114"/>
      <c r="D5" s="114"/>
      <c r="E5" s="114"/>
      <c r="F5" s="115"/>
      <c r="G5" s="115"/>
      <c r="H5" s="115"/>
      <c r="I5" s="115"/>
      <c r="J5" s="115"/>
      <c r="K5" s="115"/>
      <c r="L5" s="115"/>
      <c r="M5" s="115"/>
      <c r="N5" s="115"/>
      <c r="O5" s="115"/>
      <c r="P5" s="115"/>
      <c r="Q5" s="115"/>
      <c r="R5" s="115"/>
      <c r="S5" s="115"/>
    </row>
    <row r="6" spans="1:21" ht="15" customHeight="1" x14ac:dyDescent="0.2">
      <c r="A6" s="58"/>
      <c r="C6" s="58"/>
      <c r="D6" s="58"/>
    </row>
    <row r="7" spans="1:21" ht="15" customHeight="1" x14ac:dyDescent="0.2">
      <c r="A7" s="5" t="s">
        <v>27</v>
      </c>
      <c r="E7" s="123"/>
      <c r="F7" s="123"/>
      <c r="G7" s="123"/>
      <c r="H7" s="123"/>
      <c r="I7" s="123"/>
      <c r="J7" s="123"/>
      <c r="K7" s="123"/>
      <c r="L7" s="123"/>
      <c r="M7" s="123"/>
    </row>
    <row r="8" spans="1:21" ht="15" customHeight="1" x14ac:dyDescent="0.2">
      <c r="B8" s="281" t="s">
        <v>28</v>
      </c>
      <c r="C8" s="283" t="s">
        <v>29</v>
      </c>
      <c r="D8" s="284"/>
      <c r="E8" s="119" t="s">
        <v>30</v>
      </c>
      <c r="F8" s="177"/>
      <c r="G8" s="178"/>
      <c r="H8" s="179"/>
      <c r="I8" s="177" t="s">
        <v>25</v>
      </c>
      <c r="J8" s="177"/>
      <c r="K8" s="178"/>
      <c r="L8" s="178"/>
      <c r="M8" s="57"/>
      <c r="N8" s="180"/>
      <c r="O8" s="180"/>
    </row>
    <row r="9" spans="1:21" ht="15" customHeight="1" thickBot="1" x14ac:dyDescent="0.25">
      <c r="B9" s="282"/>
      <c r="C9" s="285"/>
      <c r="D9" s="286"/>
      <c r="E9" s="181" t="s">
        <v>60</v>
      </c>
      <c r="F9" s="182" t="s">
        <v>84</v>
      </c>
      <c r="G9" s="183" t="s">
        <v>61</v>
      </c>
      <c r="H9" s="184" t="s">
        <v>62</v>
      </c>
      <c r="I9" s="182" t="s">
        <v>60</v>
      </c>
      <c r="J9" s="182" t="s">
        <v>84</v>
      </c>
      <c r="K9" s="183" t="s">
        <v>61</v>
      </c>
      <c r="L9" s="182" t="s">
        <v>62</v>
      </c>
      <c r="M9" s="57"/>
      <c r="N9" s="180"/>
      <c r="O9" s="180"/>
    </row>
    <row r="10" spans="1:21" ht="15" customHeight="1" x14ac:dyDescent="0.2">
      <c r="B10" s="59" t="s">
        <v>63</v>
      </c>
      <c r="C10" s="272">
        <v>7.92</v>
      </c>
      <c r="D10" s="273"/>
      <c r="E10" s="60">
        <v>1.7000000000000001E-2</v>
      </c>
      <c r="F10" s="80">
        <v>-1.4E-2</v>
      </c>
      <c r="G10" s="61">
        <v>0.27</v>
      </c>
      <c r="H10" s="61">
        <v>0.3</v>
      </c>
      <c r="I10" s="122">
        <f t="shared" ref="I10:J14" si="0">$C10/E10</f>
        <v>465.88235294117641</v>
      </c>
      <c r="J10" s="122">
        <f t="shared" si="0"/>
        <v>-565.71428571428567</v>
      </c>
      <c r="K10" s="122">
        <f t="shared" ref="K10:L13" si="1">$C10/G10</f>
        <v>29.333333333333332</v>
      </c>
      <c r="L10" s="122">
        <f t="shared" si="1"/>
        <v>26.400000000000002</v>
      </c>
      <c r="M10" s="123"/>
    </row>
    <row r="11" spans="1:21" ht="15" customHeight="1" x14ac:dyDescent="0.2">
      <c r="B11" s="59" t="s">
        <v>64</v>
      </c>
      <c r="C11" s="274">
        <v>6.97</v>
      </c>
      <c r="D11" s="275"/>
      <c r="E11" s="62">
        <v>0.03</v>
      </c>
      <c r="F11" s="90">
        <v>0.14000000000000001</v>
      </c>
      <c r="G11" s="61">
        <v>0.31</v>
      </c>
      <c r="H11" s="61">
        <v>0.4</v>
      </c>
      <c r="I11" s="122">
        <f t="shared" si="0"/>
        <v>232.33333333333334</v>
      </c>
      <c r="J11" s="122">
        <f t="shared" si="0"/>
        <v>49.785714285714278</v>
      </c>
      <c r="K11" s="122">
        <f t="shared" si="1"/>
        <v>22.483870967741936</v>
      </c>
      <c r="L11" s="122">
        <f t="shared" si="1"/>
        <v>17.424999999999997</v>
      </c>
      <c r="M11" s="123"/>
    </row>
    <row r="12" spans="1:21" ht="15" customHeight="1" x14ac:dyDescent="0.2">
      <c r="B12" s="59" t="s">
        <v>65</v>
      </c>
      <c r="C12" s="274">
        <v>7.96</v>
      </c>
      <c r="D12" s="275"/>
      <c r="E12" s="60">
        <v>-0.31</v>
      </c>
      <c r="F12" s="80">
        <v>-0.14000000000000001</v>
      </c>
      <c r="G12" s="61">
        <v>0.4</v>
      </c>
      <c r="H12" s="61">
        <v>0.54</v>
      </c>
      <c r="I12" s="122">
        <f t="shared" si="0"/>
        <v>-25.677419354838708</v>
      </c>
      <c r="J12" s="122">
        <f t="shared" si="0"/>
        <v>-56.857142857142854</v>
      </c>
      <c r="K12" s="122">
        <f t="shared" si="1"/>
        <v>19.899999999999999</v>
      </c>
      <c r="L12" s="122">
        <f t="shared" si="1"/>
        <v>14.74074074074074</v>
      </c>
      <c r="M12" s="123"/>
    </row>
    <row r="13" spans="1:21" ht="15" customHeight="1" x14ac:dyDescent="0.2">
      <c r="B13" s="59" t="s">
        <v>66</v>
      </c>
      <c r="C13" s="274">
        <v>5.22</v>
      </c>
      <c r="D13" s="275"/>
      <c r="E13" s="60">
        <v>-0.43</v>
      </c>
      <c r="F13" s="80">
        <v>-0.11</v>
      </c>
      <c r="G13" s="61">
        <v>0.25</v>
      </c>
      <c r="H13" s="61">
        <v>0.36</v>
      </c>
      <c r="I13" s="122">
        <f t="shared" si="0"/>
        <v>-12.13953488372093</v>
      </c>
      <c r="J13" s="122">
        <f t="shared" si="0"/>
        <v>-47.454545454545453</v>
      </c>
      <c r="K13" s="122">
        <f t="shared" si="1"/>
        <v>20.88</v>
      </c>
      <c r="L13" s="122">
        <f t="shared" si="1"/>
        <v>14.5</v>
      </c>
      <c r="M13" s="123"/>
    </row>
    <row r="14" spans="1:21" ht="15" customHeight="1" x14ac:dyDescent="0.2">
      <c r="B14" s="59" t="s">
        <v>67</v>
      </c>
      <c r="C14" s="274">
        <v>10.43</v>
      </c>
      <c r="D14" s="280"/>
      <c r="E14" s="60">
        <v>0.12</v>
      </c>
      <c r="F14" s="80">
        <v>0.32</v>
      </c>
      <c r="G14" s="61">
        <v>0.25</v>
      </c>
      <c r="H14" s="61">
        <v>0.45</v>
      </c>
      <c r="I14" s="122">
        <f t="shared" si="0"/>
        <v>86.916666666666671</v>
      </c>
      <c r="J14" s="122">
        <f t="shared" si="0"/>
        <v>32.59375</v>
      </c>
      <c r="K14" s="122">
        <f>$C14/G14</f>
        <v>41.72</v>
      </c>
      <c r="L14" s="122">
        <f>$C14/H14</f>
        <v>23.177777777777777</v>
      </c>
      <c r="M14" s="123"/>
    </row>
    <row r="15" spans="1:21" ht="15" customHeight="1" thickBot="1" x14ac:dyDescent="0.25">
      <c r="B15" s="63" t="s">
        <v>31</v>
      </c>
      <c r="C15" s="270">
        <f ca="1">H15*L15</f>
        <v>11.574789927148828</v>
      </c>
      <c r="D15" s="271"/>
      <c r="E15" s="185">
        <f>(IS!E49-(IS!E43+IS!E44+IS!E45)*(1-IS!E19))/Financing!E46</f>
        <v>0.38345163132134619</v>
      </c>
      <c r="F15" s="80">
        <v>0.34100000000000003</v>
      </c>
      <c r="G15" s="124">
        <f ca="1">(IS!F49-(IS!F43+IS!F44+IS!F45)*(1-IS!F19))/Financing!F46</f>
        <v>0.4771700508536928</v>
      </c>
      <c r="H15" s="124">
        <f ca="1">(IS!G49-(IS!G43+IS!G44+IS!G45)*(1-IS!G19))/Financing!G46</f>
        <v>0.66426341045330439</v>
      </c>
      <c r="I15" s="230"/>
      <c r="J15" s="127">
        <f>J17</f>
        <v>41.189732142857139</v>
      </c>
      <c r="K15" s="126">
        <f>K17</f>
        <v>22.483870967741936</v>
      </c>
      <c r="L15" s="126">
        <f>L17</f>
        <v>17.424999999999997</v>
      </c>
      <c r="M15" s="123"/>
    </row>
    <row r="16" spans="1:21" ht="15" customHeight="1" x14ac:dyDescent="0.2">
      <c r="B16" s="64" t="s">
        <v>32</v>
      </c>
      <c r="C16" s="276"/>
      <c r="D16" s="277"/>
      <c r="E16" s="66"/>
      <c r="F16" s="65"/>
      <c r="G16" s="65"/>
      <c r="H16" s="67"/>
      <c r="I16" s="68"/>
      <c r="J16" s="68">
        <f>AVERAGE(J11,J14)</f>
        <v>41.189732142857139</v>
      </c>
      <c r="K16" s="68">
        <f>AVERAGE(K10:K14)</f>
        <v>26.863440860215054</v>
      </c>
      <c r="L16" s="68">
        <f>AVERAGE(L10:L14)</f>
        <v>19.248703703703704</v>
      </c>
      <c r="M16" s="123"/>
    </row>
    <row r="17" spans="1:13" ht="15" customHeight="1" x14ac:dyDescent="0.2">
      <c r="B17" s="116" t="s">
        <v>68</v>
      </c>
      <c r="C17" s="278"/>
      <c r="D17" s="278"/>
      <c r="E17" s="98"/>
      <c r="F17" s="70"/>
      <c r="G17" s="70"/>
      <c r="H17" s="97"/>
      <c r="I17" s="89"/>
      <c r="J17" s="89">
        <f>MEDIAN(J11,J14)</f>
        <v>41.189732142857139</v>
      </c>
      <c r="K17" s="89">
        <f>MEDIAN(K10:K14)</f>
        <v>22.483870967741936</v>
      </c>
      <c r="L17" s="89">
        <f>MEDIAN(L10:L14)</f>
        <v>17.424999999999997</v>
      </c>
      <c r="M17" s="123"/>
    </row>
    <row r="18" spans="1:13" ht="15" customHeight="1" x14ac:dyDescent="0.2">
      <c r="B18" s="69"/>
      <c r="C18" s="278"/>
      <c r="D18" s="278"/>
      <c r="E18" s="70"/>
      <c r="F18" s="70"/>
      <c r="G18" s="70"/>
      <c r="H18" s="71"/>
      <c r="I18" s="71"/>
      <c r="J18" s="71"/>
      <c r="K18" s="123"/>
    </row>
    <row r="19" spans="1:13" ht="15" customHeight="1" x14ac:dyDescent="0.2">
      <c r="B19" s="72" t="s">
        <v>33</v>
      </c>
      <c r="C19" s="73">
        <v>-0.1</v>
      </c>
      <c r="D19" s="70" t="s">
        <v>34</v>
      </c>
      <c r="E19" s="73">
        <v>0.1</v>
      </c>
      <c r="F19" s="128"/>
      <c r="G19" s="70"/>
      <c r="H19" s="71"/>
      <c r="I19" s="71"/>
      <c r="J19" s="71"/>
      <c r="K19" s="123"/>
    </row>
    <row r="20" spans="1:13" ht="15" customHeight="1" x14ac:dyDescent="0.2">
      <c r="B20" s="74" t="s">
        <v>35</v>
      </c>
      <c r="C20" s="75">
        <f ca="1">C15*(1+C19)</f>
        <v>10.417310934433946</v>
      </c>
      <c r="D20" s="76" t="s">
        <v>34</v>
      </c>
      <c r="E20" s="75">
        <f ca="1">C15*(1+E19)</f>
        <v>12.732268919863712</v>
      </c>
      <c r="F20" s="70"/>
      <c r="G20" s="70"/>
      <c r="H20" s="71"/>
      <c r="I20" s="71"/>
      <c r="J20" s="71"/>
      <c r="K20" s="123"/>
    </row>
    <row r="21" spans="1:13" ht="15" customHeight="1" x14ac:dyDescent="0.2">
      <c r="C21" s="279"/>
      <c r="D21" s="279"/>
      <c r="E21" s="123"/>
      <c r="F21" s="123"/>
      <c r="G21" s="123"/>
      <c r="H21" s="123"/>
      <c r="I21" s="123"/>
      <c r="J21" s="123"/>
    </row>
    <row r="22" spans="1:13" ht="15" customHeight="1" x14ac:dyDescent="0.2">
      <c r="A22" s="5" t="s">
        <v>36</v>
      </c>
      <c r="C22" s="279"/>
      <c r="D22" s="279"/>
      <c r="E22" s="123"/>
      <c r="F22" s="123"/>
      <c r="G22" s="123"/>
      <c r="H22" s="123"/>
      <c r="I22" s="123"/>
      <c r="J22" s="123"/>
    </row>
    <row r="23" spans="1:13" ht="15" customHeight="1" x14ac:dyDescent="0.2">
      <c r="B23" s="281" t="s">
        <v>28</v>
      </c>
      <c r="C23" s="283" t="s">
        <v>29</v>
      </c>
      <c r="D23" s="284"/>
      <c r="E23" s="119" t="s">
        <v>37</v>
      </c>
      <c r="F23" s="178"/>
      <c r="G23" s="179"/>
      <c r="H23" s="177" t="s">
        <v>38</v>
      </c>
      <c r="I23" s="178"/>
      <c r="J23" s="178"/>
    </row>
    <row r="24" spans="1:13" ht="15" customHeight="1" thickBot="1" x14ac:dyDescent="0.25">
      <c r="B24" s="282"/>
      <c r="C24" s="285"/>
      <c r="D24" s="286"/>
      <c r="E24" s="181" t="s">
        <v>60</v>
      </c>
      <c r="F24" s="183" t="s">
        <v>61</v>
      </c>
      <c r="G24" s="184" t="s">
        <v>62</v>
      </c>
      <c r="H24" s="182" t="s">
        <v>60</v>
      </c>
      <c r="I24" s="183" t="s">
        <v>61</v>
      </c>
      <c r="J24" s="182" t="s">
        <v>62</v>
      </c>
    </row>
    <row r="25" spans="1:13" ht="15" customHeight="1" x14ac:dyDescent="0.2">
      <c r="B25" s="59" t="s">
        <v>63</v>
      </c>
      <c r="C25" s="272">
        <v>7.92</v>
      </c>
      <c r="D25" s="273"/>
      <c r="E25" s="60">
        <v>2.7</v>
      </c>
      <c r="F25" s="61">
        <v>2.83</v>
      </c>
      <c r="G25" s="61">
        <v>2.98</v>
      </c>
      <c r="H25" s="122">
        <f t="shared" ref="H25:J28" si="2">$C25/E25</f>
        <v>2.9333333333333331</v>
      </c>
      <c r="I25" s="122">
        <f t="shared" si="2"/>
        <v>2.7985865724381624</v>
      </c>
      <c r="J25" s="122">
        <f t="shared" si="2"/>
        <v>2.6577181208053693</v>
      </c>
      <c r="L25" s="129"/>
      <c r="M25" s="129"/>
    </row>
    <row r="26" spans="1:13" ht="15" customHeight="1" x14ac:dyDescent="0.2">
      <c r="B26" s="59" t="s">
        <v>64</v>
      </c>
      <c r="C26" s="274">
        <v>6.97</v>
      </c>
      <c r="D26" s="275"/>
      <c r="E26" s="60">
        <v>2.6</v>
      </c>
      <c r="F26" s="61">
        <v>2.82</v>
      </c>
      <c r="G26" s="61">
        <v>3.1</v>
      </c>
      <c r="H26" s="122">
        <f t="shared" si="2"/>
        <v>2.6807692307692306</v>
      </c>
      <c r="I26" s="122">
        <f t="shared" si="2"/>
        <v>2.4716312056737588</v>
      </c>
      <c r="J26" s="122">
        <f t="shared" si="2"/>
        <v>2.2483870967741932</v>
      </c>
      <c r="L26" s="129"/>
      <c r="M26" s="129"/>
    </row>
    <row r="27" spans="1:13" ht="15" customHeight="1" x14ac:dyDescent="0.2">
      <c r="B27" s="59" t="s">
        <v>65</v>
      </c>
      <c r="C27" s="274">
        <v>7.96</v>
      </c>
      <c r="D27" s="275"/>
      <c r="E27" s="60">
        <v>3.01</v>
      </c>
      <c r="F27" s="61">
        <v>3.29</v>
      </c>
      <c r="G27" s="61">
        <v>3.66</v>
      </c>
      <c r="H27" s="122">
        <f t="shared" si="2"/>
        <v>2.6445182724252492</v>
      </c>
      <c r="I27" s="122">
        <f t="shared" si="2"/>
        <v>2.4194528875379939</v>
      </c>
      <c r="J27" s="122">
        <f t="shared" si="2"/>
        <v>2.1748633879781418</v>
      </c>
      <c r="L27" s="129"/>
      <c r="M27" s="129"/>
    </row>
    <row r="28" spans="1:13" ht="15" customHeight="1" x14ac:dyDescent="0.2">
      <c r="B28" s="59" t="s">
        <v>66</v>
      </c>
      <c r="C28" s="274">
        <v>5.22</v>
      </c>
      <c r="D28" s="275"/>
      <c r="E28" s="60">
        <v>1.83</v>
      </c>
      <c r="F28" s="61">
        <v>2.0099999999999998</v>
      </c>
      <c r="G28" s="61">
        <v>2.2599999999999998</v>
      </c>
      <c r="H28" s="122">
        <f t="shared" si="2"/>
        <v>2.8524590163934422</v>
      </c>
      <c r="I28" s="122">
        <f t="shared" si="2"/>
        <v>2.5970149253731343</v>
      </c>
      <c r="J28" s="122">
        <f t="shared" si="2"/>
        <v>2.3097345132743365</v>
      </c>
      <c r="L28" s="129"/>
      <c r="M28" s="129"/>
    </row>
    <row r="29" spans="1:13" ht="15" customHeight="1" x14ac:dyDescent="0.2">
      <c r="B29" s="59" t="s">
        <v>67</v>
      </c>
      <c r="C29" s="274">
        <v>10.43</v>
      </c>
      <c r="D29" s="280"/>
      <c r="E29" s="60">
        <v>5.71</v>
      </c>
      <c r="F29" s="61">
        <v>4.28</v>
      </c>
      <c r="G29" s="61">
        <v>4.5999999999999996</v>
      </c>
      <c r="H29" s="122">
        <f>$C29/E29</f>
        <v>1.8266199649737302</v>
      </c>
      <c r="I29" s="122">
        <f>$C29/F29</f>
        <v>2.4369158878504669</v>
      </c>
      <c r="J29" s="122">
        <f>$C29/G29</f>
        <v>2.267391304347826</v>
      </c>
      <c r="L29" s="129"/>
      <c r="M29" s="129"/>
    </row>
    <row r="30" spans="1:13" ht="15" customHeight="1" thickBot="1" x14ac:dyDescent="0.25">
      <c r="B30" s="63" t="s">
        <v>31</v>
      </c>
      <c r="C30" s="270">
        <f ca="1">G30*J30</f>
        <v>13.508211706702483</v>
      </c>
      <c r="D30" s="271"/>
      <c r="E30" s="185">
        <f>BS!E34/Financing!E46</f>
        <v>3.9913671350444906</v>
      </c>
      <c r="F30" s="124">
        <f ca="1">BS!F34/Financing!F46</f>
        <v>5.5414655769524002</v>
      </c>
      <c r="G30" s="125">
        <f ca="1">BS!G34/Financing!G46</f>
        <v>5.9576005609617857</v>
      </c>
      <c r="H30" s="126">
        <f>H32</f>
        <v>2.6807692307692306</v>
      </c>
      <c r="I30" s="126">
        <f>I32</f>
        <v>2.4716312056737588</v>
      </c>
      <c r="J30" s="126">
        <f>J32</f>
        <v>2.267391304347826</v>
      </c>
    </row>
    <row r="31" spans="1:13" ht="15" customHeight="1" x14ac:dyDescent="0.2">
      <c r="B31" s="64" t="s">
        <v>32</v>
      </c>
      <c r="C31" s="65"/>
      <c r="D31" s="65"/>
      <c r="E31" s="66"/>
      <c r="F31" s="65"/>
      <c r="G31" s="67"/>
      <c r="H31" s="68">
        <f>AVERAGE(H25:H29)</f>
        <v>2.5875399635789971</v>
      </c>
      <c r="I31" s="68">
        <f>AVERAGE(I25:I29)</f>
        <v>2.5447202957747033</v>
      </c>
      <c r="J31" s="68">
        <f>AVERAGE(J25:J29)</f>
        <v>2.3316188846359731</v>
      </c>
    </row>
    <row r="32" spans="1:13" ht="15" customHeight="1" x14ac:dyDescent="0.2">
      <c r="B32" s="116" t="s">
        <v>68</v>
      </c>
      <c r="C32" s="70"/>
      <c r="D32" s="70"/>
      <c r="E32" s="98"/>
      <c r="F32" s="70"/>
      <c r="G32" s="97"/>
      <c r="H32" s="89">
        <f>MEDIAN(H25:H29)</f>
        <v>2.6807692307692306</v>
      </c>
      <c r="I32" s="89">
        <f>MEDIAN(I25:I29)</f>
        <v>2.4716312056737588</v>
      </c>
      <c r="J32" s="89">
        <f>MEDIAN(J25:J29)</f>
        <v>2.267391304347826</v>
      </c>
    </row>
    <row r="33" spans="1:21" ht="15" customHeight="1" x14ac:dyDescent="0.2">
      <c r="B33" s="69"/>
      <c r="C33" s="70"/>
      <c r="D33" s="70"/>
      <c r="E33" s="70"/>
      <c r="F33" s="70"/>
      <c r="G33" s="70"/>
      <c r="H33" s="71"/>
      <c r="I33" s="71"/>
      <c r="J33" s="71"/>
    </row>
    <row r="34" spans="1:21" ht="15" customHeight="1" x14ac:dyDescent="0.2">
      <c r="B34" s="72" t="s">
        <v>33</v>
      </c>
      <c r="C34" s="73">
        <v>-0.1</v>
      </c>
      <c r="D34" s="70" t="s">
        <v>34</v>
      </c>
      <c r="E34" s="73">
        <v>0.1</v>
      </c>
      <c r="F34" s="128"/>
      <c r="G34" s="70"/>
      <c r="H34" s="71"/>
      <c r="I34" s="71"/>
      <c r="J34" s="71"/>
    </row>
    <row r="35" spans="1:21" ht="15" customHeight="1" x14ac:dyDescent="0.2">
      <c r="B35" s="74" t="s">
        <v>35</v>
      </c>
      <c r="C35" s="75">
        <f ca="1">C30*(1+C34)</f>
        <v>12.157390536032235</v>
      </c>
      <c r="D35" s="76" t="s">
        <v>34</v>
      </c>
      <c r="E35" s="75">
        <f ca="1">C30*(1+E34)</f>
        <v>14.859032877372732</v>
      </c>
      <c r="F35" s="70"/>
      <c r="G35" s="70"/>
      <c r="H35" s="71"/>
      <c r="I35" s="71"/>
      <c r="J35" s="71"/>
    </row>
    <row r="36" spans="1:21" ht="15" customHeight="1" x14ac:dyDescent="0.2">
      <c r="E36" s="123"/>
      <c r="F36" s="123"/>
      <c r="G36" s="123"/>
      <c r="H36" s="123"/>
      <c r="I36" s="123"/>
      <c r="J36" s="123"/>
      <c r="K36" s="123"/>
      <c r="L36" s="123"/>
    </row>
    <row r="37" spans="1:21" ht="15" customHeight="1" x14ac:dyDescent="0.2">
      <c r="A37" s="5" t="s">
        <v>248</v>
      </c>
      <c r="E37" s="123"/>
      <c r="F37" s="123"/>
      <c r="G37" s="123"/>
      <c r="H37" s="123"/>
      <c r="I37" s="123"/>
      <c r="J37" s="123"/>
      <c r="K37" s="123"/>
      <c r="L37" s="123"/>
      <c r="M37" s="123"/>
      <c r="N37" s="123"/>
      <c r="O37" s="123"/>
      <c r="P37" s="123"/>
    </row>
    <row r="38" spans="1:21" ht="15" customHeight="1" x14ac:dyDescent="0.2">
      <c r="B38" s="281" t="s">
        <v>28</v>
      </c>
      <c r="C38" s="283" t="s">
        <v>29</v>
      </c>
      <c r="D38" s="292"/>
      <c r="E38" s="287" t="s">
        <v>69</v>
      </c>
      <c r="F38" s="289" t="s">
        <v>39</v>
      </c>
      <c r="G38" s="266" t="s">
        <v>40</v>
      </c>
      <c r="H38" s="266" t="s">
        <v>41</v>
      </c>
      <c r="I38" s="266" t="s">
        <v>42</v>
      </c>
      <c r="J38" s="119" t="s">
        <v>43</v>
      </c>
      <c r="K38" s="177"/>
      <c r="L38" s="186"/>
      <c r="M38" s="119" t="s">
        <v>44</v>
      </c>
      <c r="N38" s="179"/>
      <c r="O38" s="268" t="s">
        <v>45</v>
      </c>
      <c r="P38" s="187" t="s">
        <v>70</v>
      </c>
      <c r="Q38" s="178"/>
      <c r="R38" s="179"/>
      <c r="S38" s="177" t="s">
        <v>52</v>
      </c>
      <c r="T38" s="178"/>
      <c r="U38" s="178"/>
    </row>
    <row r="39" spans="1:21" ht="15" customHeight="1" thickBot="1" x14ac:dyDescent="0.25">
      <c r="B39" s="282"/>
      <c r="C39" s="285"/>
      <c r="D39" s="293"/>
      <c r="E39" s="288"/>
      <c r="F39" s="290"/>
      <c r="G39" s="267"/>
      <c r="H39" s="267"/>
      <c r="I39" s="267"/>
      <c r="J39" s="77" t="s">
        <v>26</v>
      </c>
      <c r="K39" s="78" t="s">
        <v>46</v>
      </c>
      <c r="L39" s="79" t="s">
        <v>47</v>
      </c>
      <c r="M39" s="77" t="s">
        <v>48</v>
      </c>
      <c r="N39" s="79" t="s">
        <v>49</v>
      </c>
      <c r="O39" s="269"/>
      <c r="P39" s="181" t="s">
        <v>60</v>
      </c>
      <c r="Q39" s="183" t="s">
        <v>61</v>
      </c>
      <c r="R39" s="184" t="s">
        <v>62</v>
      </c>
      <c r="S39" s="182" t="s">
        <v>60</v>
      </c>
      <c r="T39" s="183" t="s">
        <v>61</v>
      </c>
      <c r="U39" s="182" t="s">
        <v>62</v>
      </c>
    </row>
    <row r="40" spans="1:21" ht="15" customHeight="1" x14ac:dyDescent="0.2">
      <c r="B40" s="59" t="s">
        <v>63</v>
      </c>
      <c r="C40" s="272">
        <v>7.92</v>
      </c>
      <c r="D40" s="273"/>
      <c r="E40" s="91">
        <v>1479.8920000000001</v>
      </c>
      <c r="F40" s="130">
        <f>C40*E40</f>
        <v>11720.744640000001</v>
      </c>
      <c r="G40" s="80">
        <v>0</v>
      </c>
      <c r="H40" s="91">
        <v>0</v>
      </c>
      <c r="I40" s="131">
        <f t="shared" ref="I40:I45" si="3">G40*H40</f>
        <v>0</v>
      </c>
      <c r="J40" s="92">
        <v>9055.9390000000003</v>
      </c>
      <c r="K40" s="91">
        <v>858.322</v>
      </c>
      <c r="L40" s="93">
        <v>0</v>
      </c>
      <c r="M40" s="92">
        <v>1964.8579999999999</v>
      </c>
      <c r="N40" s="93">
        <v>915.50579999999991</v>
      </c>
      <c r="O40" s="132">
        <f>SUM(F40,I40,J40:L40)-SUM(M40:N40)</f>
        <v>18754.641840000004</v>
      </c>
      <c r="P40" s="92">
        <v>1380.7</v>
      </c>
      <c r="Q40" s="94">
        <v>2135</v>
      </c>
      <c r="R40" s="94">
        <v>2126</v>
      </c>
      <c r="S40" s="122">
        <f t="shared" ref="S40:U44" si="4">$O40/P40</f>
        <v>13.583430028246545</v>
      </c>
      <c r="T40" s="122">
        <f t="shared" si="4"/>
        <v>8.7843755690866523</v>
      </c>
      <c r="U40" s="122">
        <f t="shared" si="4"/>
        <v>8.8215624835371607</v>
      </c>
    </row>
    <row r="41" spans="1:21" ht="15" customHeight="1" x14ac:dyDescent="0.2">
      <c r="B41" s="59" t="s">
        <v>64</v>
      </c>
      <c r="C41" s="274">
        <v>6.97</v>
      </c>
      <c r="D41" s="275"/>
      <c r="E41" s="91">
        <v>5447.7690000000002</v>
      </c>
      <c r="F41" s="130">
        <f>C41*E41</f>
        <v>37970.949930000002</v>
      </c>
      <c r="G41" s="80">
        <v>0</v>
      </c>
      <c r="H41" s="91">
        <v>0</v>
      </c>
      <c r="I41" s="131">
        <f t="shared" si="3"/>
        <v>0</v>
      </c>
      <c r="J41" s="92">
        <v>40924.284</v>
      </c>
      <c r="K41" s="91">
        <v>5306.82</v>
      </c>
      <c r="L41" s="93">
        <v>0</v>
      </c>
      <c r="M41" s="92">
        <v>441.87299999999999</v>
      </c>
      <c r="N41" s="93">
        <v>6083.4610000000002</v>
      </c>
      <c r="O41" s="132">
        <f>SUM(F41,I41,J41:L41)-SUM(M41:N41)</f>
        <v>77676.719929999992</v>
      </c>
      <c r="P41" s="92">
        <v>3435.1</v>
      </c>
      <c r="Q41" s="94">
        <v>6486</v>
      </c>
      <c r="R41" s="94">
        <v>8070</v>
      </c>
      <c r="S41" s="122">
        <f t="shared" si="4"/>
        <v>22.612651721929492</v>
      </c>
      <c r="T41" s="122">
        <f t="shared" si="4"/>
        <v>11.976059193647856</v>
      </c>
      <c r="U41" s="122">
        <f t="shared" si="4"/>
        <v>9.6253680210656736</v>
      </c>
    </row>
    <row r="42" spans="1:21" ht="15" customHeight="1" x14ac:dyDescent="0.2">
      <c r="B42" s="59" t="s">
        <v>65</v>
      </c>
      <c r="C42" s="274">
        <v>7.96</v>
      </c>
      <c r="D42" s="275"/>
      <c r="E42" s="91">
        <v>9000</v>
      </c>
      <c r="F42" s="130">
        <f>C42*E42</f>
        <v>71640</v>
      </c>
      <c r="G42" s="90">
        <v>4.9400000000000004</v>
      </c>
      <c r="H42" s="91">
        <v>3055.3829999999998</v>
      </c>
      <c r="I42" s="131">
        <f t="shared" si="3"/>
        <v>15093.59202</v>
      </c>
      <c r="J42" s="92">
        <v>104152.776</v>
      </c>
      <c r="K42" s="91">
        <v>5326.223</v>
      </c>
      <c r="L42" s="93">
        <v>0</v>
      </c>
      <c r="M42" s="92">
        <v>5765.8729999999996</v>
      </c>
      <c r="N42" s="93">
        <v>10022.523000000001</v>
      </c>
      <c r="O42" s="132">
        <f>SUM(F42,I42,J42:L42)-SUM(M42:N42)</f>
        <v>180424.19501999998</v>
      </c>
      <c r="P42" s="92">
        <v>6483.2</v>
      </c>
      <c r="Q42" s="94">
        <v>16304</v>
      </c>
      <c r="R42" s="94">
        <v>19377</v>
      </c>
      <c r="S42" s="122">
        <f t="shared" si="4"/>
        <v>27.829497010735437</v>
      </c>
      <c r="T42" s="122">
        <f t="shared" si="4"/>
        <v>11.066253374631991</v>
      </c>
      <c r="U42" s="122">
        <f t="shared" si="4"/>
        <v>9.3112553553181598</v>
      </c>
    </row>
    <row r="43" spans="1:21" ht="15" customHeight="1" x14ac:dyDescent="0.2">
      <c r="B43" s="59" t="s">
        <v>66</v>
      </c>
      <c r="C43" s="274">
        <v>5.22</v>
      </c>
      <c r="D43" s="275"/>
      <c r="E43" s="91">
        <v>4590.0562</v>
      </c>
      <c r="F43" s="130">
        <f>C43*E43</f>
        <v>23960.093364</v>
      </c>
      <c r="G43" s="90">
        <v>2.16</v>
      </c>
      <c r="H43" s="91">
        <v>1431.028</v>
      </c>
      <c r="I43" s="131">
        <f t="shared" si="3"/>
        <v>3091.0204800000001</v>
      </c>
      <c r="J43" s="92">
        <v>59659.415999999997</v>
      </c>
      <c r="K43" s="91">
        <v>4444.857</v>
      </c>
      <c r="L43" s="95">
        <v>0</v>
      </c>
      <c r="M43" s="92">
        <v>1874.096</v>
      </c>
      <c r="N43" s="93">
        <v>2662.7089999999998</v>
      </c>
      <c r="O43" s="132">
        <f>SUM(F43,I43,J43:L43)-SUM(M43:N43)</f>
        <v>86618.581844</v>
      </c>
      <c r="P43" s="92">
        <v>3466.6</v>
      </c>
      <c r="Q43" s="94">
        <v>8688</v>
      </c>
      <c r="R43" s="94">
        <v>9890</v>
      </c>
      <c r="S43" s="122">
        <f t="shared" si="4"/>
        <v>24.986609889805575</v>
      </c>
      <c r="T43" s="122">
        <f t="shared" si="4"/>
        <v>9.9699104332412531</v>
      </c>
      <c r="U43" s="122">
        <f t="shared" si="4"/>
        <v>8.7581983664307383</v>
      </c>
    </row>
    <row r="44" spans="1:21" ht="15" customHeight="1" x14ac:dyDescent="0.2">
      <c r="B44" s="59" t="s">
        <v>67</v>
      </c>
      <c r="C44" s="274">
        <v>10.43</v>
      </c>
      <c r="D44" s="280"/>
      <c r="E44" s="91">
        <v>1054.6279999999999</v>
      </c>
      <c r="F44" s="130">
        <f>C44*E44</f>
        <v>10999.770039999999</v>
      </c>
      <c r="G44" s="80">
        <v>0</v>
      </c>
      <c r="H44" s="91">
        <v>0</v>
      </c>
      <c r="I44" s="131">
        <f t="shared" si="3"/>
        <v>0</v>
      </c>
      <c r="J44" s="92">
        <v>10795.45</v>
      </c>
      <c r="K44" s="91">
        <v>1908.9939999999999</v>
      </c>
      <c r="L44" s="95">
        <v>0</v>
      </c>
      <c r="M44" s="92">
        <v>1070.9829999999999</v>
      </c>
      <c r="N44" s="93">
        <v>919.33500000000004</v>
      </c>
      <c r="O44" s="132">
        <f>SUM(F44,I44,J44:L44)-SUM(M44:N44)</f>
        <v>21713.89604</v>
      </c>
      <c r="P44" s="92">
        <v>1861.7</v>
      </c>
      <c r="Q44" s="94">
        <v>2345</v>
      </c>
      <c r="R44" s="94">
        <v>2642</v>
      </c>
      <c r="S44" s="122">
        <f t="shared" si="4"/>
        <v>11.663477488317129</v>
      </c>
      <c r="T44" s="122">
        <f t="shared" si="4"/>
        <v>9.2596571599147115</v>
      </c>
      <c r="U44" s="122">
        <f t="shared" si="4"/>
        <v>8.2187343073429222</v>
      </c>
    </row>
    <row r="45" spans="1:21" ht="15" customHeight="1" thickBot="1" x14ac:dyDescent="0.25">
      <c r="B45" s="63" t="s">
        <v>31</v>
      </c>
      <c r="C45" s="270">
        <f ca="1">F45/E45</f>
        <v>8.8817197623870587</v>
      </c>
      <c r="D45" s="291"/>
      <c r="E45" s="188">
        <f>Financing!F46</f>
        <v>10963.675837139643</v>
      </c>
      <c r="F45" s="135">
        <f ca="1">SUM(M45:O45)-SUM(J45:L45,I45)</f>
        <v>97376.296351128651</v>
      </c>
      <c r="G45" s="90">
        <v>0</v>
      </c>
      <c r="H45" s="96">
        <v>0</v>
      </c>
      <c r="I45" s="133">
        <f t="shared" si="3"/>
        <v>0</v>
      </c>
      <c r="J45" s="134">
        <f ca="1">Financing!F35</f>
        <v>95917.208806630006</v>
      </c>
      <c r="K45" s="96">
        <v>0</v>
      </c>
      <c r="L45" s="95">
        <v>0</v>
      </c>
      <c r="M45" s="134">
        <f ca="1">BS!F11</f>
        <v>1108.1653161185063</v>
      </c>
      <c r="N45" s="135">
        <f>BS!F16</f>
        <v>11048.392198670001</v>
      </c>
      <c r="O45" s="136">
        <f>R45*U45</f>
        <v>181136.94764297016</v>
      </c>
      <c r="P45" s="134">
        <f>IS!E35</f>
        <v>7583.3493189599994</v>
      </c>
      <c r="Q45" s="137">
        <f>IS!F35</f>
        <v>13882.904638679202</v>
      </c>
      <c r="R45" s="138">
        <f>IS!G35</f>
        <v>20533.431348585778</v>
      </c>
      <c r="S45" s="126">
        <f>S47</f>
        <v>22.612651721929492</v>
      </c>
      <c r="T45" s="126">
        <f>T47</f>
        <v>9.9699104332412531</v>
      </c>
      <c r="U45" s="126">
        <f>U47</f>
        <v>8.8215624835371607</v>
      </c>
    </row>
    <row r="46" spans="1:21" ht="15" customHeight="1" x14ac:dyDescent="0.2">
      <c r="B46" s="64" t="s">
        <v>32</v>
      </c>
      <c r="C46" s="81"/>
      <c r="D46" s="81"/>
      <c r="E46" s="83"/>
      <c r="F46" s="82"/>
      <c r="G46" s="81"/>
      <c r="H46" s="81"/>
      <c r="I46" s="81"/>
      <c r="J46" s="83"/>
      <c r="K46" s="81"/>
      <c r="L46" s="82"/>
      <c r="M46" s="83"/>
      <c r="N46" s="82"/>
      <c r="O46" s="84"/>
      <c r="P46" s="66"/>
      <c r="Q46" s="65"/>
      <c r="R46" s="67"/>
      <c r="S46" s="68">
        <f>AVERAGE(S40:S44)</f>
        <v>20.135133227806836</v>
      </c>
      <c r="T46" s="68">
        <f>AVERAGE(T40:T44)</f>
        <v>10.211251146104493</v>
      </c>
      <c r="U46" s="68">
        <f>AVERAGE(U40:U44)</f>
        <v>8.9470237067389302</v>
      </c>
    </row>
    <row r="47" spans="1:21" ht="15" customHeight="1" x14ac:dyDescent="0.2">
      <c r="B47" s="116" t="s">
        <v>68</v>
      </c>
      <c r="C47" s="71"/>
      <c r="D47" s="71"/>
      <c r="E47" s="101"/>
      <c r="F47" s="71"/>
      <c r="G47" s="101"/>
      <c r="H47" s="71"/>
      <c r="I47" s="71"/>
      <c r="J47" s="101"/>
      <c r="K47" s="71"/>
      <c r="L47" s="71"/>
      <c r="M47" s="101"/>
      <c r="N47" s="71"/>
      <c r="O47" s="100"/>
      <c r="P47" s="70"/>
      <c r="Q47" s="70"/>
      <c r="R47" s="97"/>
      <c r="S47" s="89">
        <f>MEDIAN(S40:S44)</f>
        <v>22.612651721929492</v>
      </c>
      <c r="T47" s="89">
        <f>MEDIAN(T40:T44)</f>
        <v>9.9699104332412531</v>
      </c>
      <c r="U47" s="89">
        <f>MEDIAN(U40:U44)</f>
        <v>8.8215624835371607</v>
      </c>
    </row>
    <row r="48" spans="1:21" ht="15" customHeight="1" x14ac:dyDescent="0.2">
      <c r="E48" s="123"/>
      <c r="F48" s="123"/>
      <c r="G48" s="123"/>
      <c r="H48" s="123"/>
      <c r="I48" s="123"/>
      <c r="J48" s="123"/>
      <c r="K48" s="123"/>
      <c r="L48" s="123"/>
    </row>
    <row r="49" spans="1:13" ht="15" customHeight="1" x14ac:dyDescent="0.2">
      <c r="B49" s="72" t="s">
        <v>33</v>
      </c>
      <c r="C49" s="73">
        <v>-0.1</v>
      </c>
      <c r="D49" s="139" t="s">
        <v>34</v>
      </c>
      <c r="E49" s="73">
        <v>0.1</v>
      </c>
      <c r="F49" s="128"/>
      <c r="G49" s="90"/>
      <c r="H49" s="71"/>
      <c r="I49" s="71"/>
      <c r="J49" s="71"/>
      <c r="K49" s="123"/>
    </row>
    <row r="50" spans="1:13" ht="15" customHeight="1" x14ac:dyDescent="0.2">
      <c r="B50" s="74" t="s">
        <v>35</v>
      </c>
      <c r="C50" s="75">
        <f ca="1">C45*(1+C49)</f>
        <v>7.993547786148353</v>
      </c>
      <c r="D50" s="102" t="s">
        <v>34</v>
      </c>
      <c r="E50" s="75">
        <f ca="1">C45*(1+E49)</f>
        <v>9.7698917386257662</v>
      </c>
      <c r="F50" s="70"/>
      <c r="G50" s="90"/>
      <c r="H50" s="71"/>
      <c r="I50" s="71"/>
      <c r="J50" s="71"/>
      <c r="K50" s="123"/>
    </row>
    <row r="51" spans="1:13" ht="15" customHeight="1" x14ac:dyDescent="0.2">
      <c r="E51" s="123"/>
      <c r="F51" s="123"/>
      <c r="G51" s="123"/>
      <c r="H51" s="123"/>
      <c r="I51" s="123"/>
      <c r="J51" s="123"/>
      <c r="K51" s="123"/>
      <c r="L51" s="123"/>
    </row>
    <row r="52" spans="1:13" ht="15" customHeight="1" x14ac:dyDescent="0.2">
      <c r="A52" s="5" t="s">
        <v>50</v>
      </c>
    </row>
    <row r="53" spans="1:13" ht="15" customHeight="1" x14ac:dyDescent="0.2">
      <c r="B53" s="121" t="s">
        <v>51</v>
      </c>
      <c r="C53" s="190">
        <f>DCF!H58</f>
        <v>11.451344927736537</v>
      </c>
      <c r="D53" s="102" t="s">
        <v>34</v>
      </c>
      <c r="E53" s="190">
        <f>DCF!F60</f>
        <v>13.428393847931202</v>
      </c>
      <c r="G53" s="140" t="s">
        <v>52</v>
      </c>
      <c r="H53" s="140">
        <f ca="1">C57</f>
        <v>7.993547786148353</v>
      </c>
      <c r="I53" s="140">
        <f ca="1">E57</f>
        <v>9.7698917386257662</v>
      </c>
      <c r="J53" s="140">
        <f ca="1">I53-H53</f>
        <v>1.7763439524774132</v>
      </c>
      <c r="L53" s="140"/>
      <c r="M53" s="140"/>
    </row>
    <row r="54" spans="1:13" ht="15" customHeight="1" x14ac:dyDescent="0.2">
      <c r="C54" s="189"/>
      <c r="E54" s="190"/>
      <c r="G54" s="235" t="s">
        <v>280</v>
      </c>
      <c r="H54" s="140">
        <f ca="1">C56</f>
        <v>12.157390536032235</v>
      </c>
      <c r="I54" s="140">
        <f ca="1">E56</f>
        <v>14.859032877372732</v>
      </c>
      <c r="J54" s="140">
        <f ca="1">I54-H54</f>
        <v>2.7016423413404969</v>
      </c>
      <c r="M54" s="140"/>
    </row>
    <row r="55" spans="1:13" ht="15" customHeight="1" x14ac:dyDescent="0.2">
      <c r="B55" s="121" t="s">
        <v>53</v>
      </c>
      <c r="C55" s="190">
        <f ca="1">Comps!C20</f>
        <v>10.417310934433946</v>
      </c>
      <c r="D55" s="102" t="s">
        <v>34</v>
      </c>
      <c r="E55" s="190">
        <f ca="1">Comps!E20</f>
        <v>12.732268919863712</v>
      </c>
      <c r="G55" s="140" t="s">
        <v>55</v>
      </c>
      <c r="H55" s="140">
        <f ca="1">C55</f>
        <v>10.417310934433946</v>
      </c>
      <c r="I55" s="140">
        <f ca="1">E55</f>
        <v>12.732268919863712</v>
      </c>
      <c r="J55" s="140">
        <f ca="1">I55-H55</f>
        <v>2.3149579854297659</v>
      </c>
      <c r="M55" s="140"/>
    </row>
    <row r="56" spans="1:13" ht="15" customHeight="1" x14ac:dyDescent="0.2">
      <c r="B56" s="121" t="s">
        <v>54</v>
      </c>
      <c r="C56" s="190">
        <f ca="1">Comps!C35</f>
        <v>12.157390536032235</v>
      </c>
      <c r="D56" s="102" t="s">
        <v>34</v>
      </c>
      <c r="E56" s="190">
        <f ca="1">Comps!E35</f>
        <v>14.859032877372732</v>
      </c>
      <c r="G56" s="140" t="s">
        <v>57</v>
      </c>
      <c r="H56" s="140">
        <f>C53</f>
        <v>11.451344927736537</v>
      </c>
      <c r="I56" s="140">
        <f>E53</f>
        <v>13.428393847931202</v>
      </c>
      <c r="J56" s="140">
        <f>I56-H56</f>
        <v>1.9770489201946653</v>
      </c>
      <c r="M56" s="140"/>
    </row>
    <row r="57" spans="1:13" ht="15" customHeight="1" x14ac:dyDescent="0.2">
      <c r="B57" s="121" t="s">
        <v>56</v>
      </c>
      <c r="C57" s="190">
        <f ca="1">Comps!C50</f>
        <v>7.993547786148353</v>
      </c>
      <c r="D57" s="102" t="s">
        <v>34</v>
      </c>
      <c r="E57" s="190">
        <f ca="1">Comps!E50</f>
        <v>9.7698917386257662</v>
      </c>
      <c r="G57" s="85" t="s">
        <v>58</v>
      </c>
      <c r="H57" s="140">
        <f ca="1">C59</f>
        <v>10.820380673304024</v>
      </c>
      <c r="I57" s="140">
        <f ca="1">E59</f>
        <v>12.94106251327597</v>
      </c>
      <c r="J57" s="140">
        <f ca="1">I57-H57</f>
        <v>2.1206818399719456</v>
      </c>
      <c r="M57" s="140"/>
    </row>
    <row r="58" spans="1:13" ht="15" customHeight="1" x14ac:dyDescent="0.2">
      <c r="C58" s="189"/>
      <c r="E58" s="190"/>
      <c r="H58" s="140"/>
      <c r="M58" s="140"/>
    </row>
    <row r="59" spans="1:13" ht="15" customHeight="1" x14ac:dyDescent="0.2">
      <c r="A59" s="58"/>
      <c r="B59" s="121" t="s">
        <v>59</v>
      </c>
      <c r="C59" s="190">
        <f ca="1">AVERAGE(C53,AVERAGE(C55:C57))</f>
        <v>10.820380673304024</v>
      </c>
      <c r="D59" s="102" t="s">
        <v>34</v>
      </c>
      <c r="E59" s="86">
        <f ca="1">AVERAGE(E53,AVERAGE(E55:E57))</f>
        <v>12.94106251327597</v>
      </c>
      <c r="H59" s="140"/>
      <c r="I59" s="140"/>
      <c r="J59" s="140"/>
      <c r="K59" s="140"/>
      <c r="L59" s="140"/>
      <c r="M59" s="140"/>
    </row>
    <row r="60" spans="1:13" ht="15" customHeight="1" x14ac:dyDescent="0.2">
      <c r="H60" s="140"/>
      <c r="I60" s="140"/>
      <c r="J60" s="140"/>
      <c r="K60" s="140"/>
      <c r="L60" s="140"/>
      <c r="M60" s="140"/>
    </row>
    <row r="61" spans="1:13" ht="15" customHeight="1" x14ac:dyDescent="0.2">
      <c r="H61" s="140"/>
      <c r="I61" s="140"/>
      <c r="J61" s="140"/>
      <c r="K61" s="140"/>
      <c r="L61" s="140"/>
      <c r="M61" s="140"/>
    </row>
    <row r="62" spans="1:13" ht="15" customHeight="1" x14ac:dyDescent="0.2">
      <c r="H62" s="140"/>
      <c r="I62" s="140"/>
      <c r="J62" s="140"/>
      <c r="K62" s="140"/>
      <c r="L62" s="140"/>
      <c r="M62" s="140"/>
    </row>
    <row r="68" spans="5:12" ht="15" customHeight="1" x14ac:dyDescent="0.2">
      <c r="E68" s="123"/>
      <c r="F68" s="123"/>
      <c r="G68" s="123"/>
      <c r="H68" s="123"/>
      <c r="I68" s="123"/>
      <c r="J68" s="123"/>
      <c r="K68" s="123"/>
      <c r="L68" s="123"/>
    </row>
    <row r="69" spans="5:12" ht="15" customHeight="1" x14ac:dyDescent="0.2">
      <c r="E69" s="123"/>
      <c r="F69" s="123"/>
      <c r="G69" s="123"/>
      <c r="H69" s="123"/>
      <c r="I69" s="123"/>
      <c r="J69" s="123"/>
      <c r="K69" s="123"/>
      <c r="L69" s="123"/>
    </row>
    <row r="70" spans="5:12" ht="15" customHeight="1" x14ac:dyDescent="0.2">
      <c r="E70" s="123"/>
      <c r="F70" s="123"/>
      <c r="G70" s="123"/>
      <c r="H70" s="123"/>
      <c r="I70" s="123"/>
      <c r="J70" s="123"/>
      <c r="K70" s="123"/>
      <c r="L70" s="123"/>
    </row>
    <row r="71" spans="5:12" ht="15" customHeight="1" x14ac:dyDescent="0.2">
      <c r="E71" s="123"/>
      <c r="F71" s="123"/>
      <c r="G71" s="123"/>
      <c r="H71" s="123"/>
      <c r="I71" s="123"/>
      <c r="J71" s="123"/>
      <c r="K71" s="123"/>
      <c r="L71" s="123"/>
    </row>
  </sheetData>
  <mergeCells count="35">
    <mergeCell ref="B38:B39"/>
    <mergeCell ref="E38:E39"/>
    <mergeCell ref="F38:F39"/>
    <mergeCell ref="C45:D45"/>
    <mergeCell ref="C43:D43"/>
    <mergeCell ref="C40:D40"/>
    <mergeCell ref="C41:D41"/>
    <mergeCell ref="C42:D42"/>
    <mergeCell ref="C38:D39"/>
    <mergeCell ref="C44:D44"/>
    <mergeCell ref="B8:B9"/>
    <mergeCell ref="C8:D9"/>
    <mergeCell ref="C10:D10"/>
    <mergeCell ref="C11:D11"/>
    <mergeCell ref="B23:B24"/>
    <mergeCell ref="C12:D12"/>
    <mergeCell ref="C13:D13"/>
    <mergeCell ref="C15:D15"/>
    <mergeCell ref="C23:D24"/>
    <mergeCell ref="C14:D14"/>
    <mergeCell ref="C16:D16"/>
    <mergeCell ref="C17:D17"/>
    <mergeCell ref="C18:D18"/>
    <mergeCell ref="C21:D21"/>
    <mergeCell ref="C22:D22"/>
    <mergeCell ref="C29:D29"/>
    <mergeCell ref="H38:H39"/>
    <mergeCell ref="I38:I39"/>
    <mergeCell ref="O38:O39"/>
    <mergeCell ref="G38:G39"/>
    <mergeCell ref="C30:D30"/>
    <mergeCell ref="C25:D25"/>
    <mergeCell ref="C26:D26"/>
    <mergeCell ref="C27:D27"/>
    <mergeCell ref="C28:D28"/>
  </mergeCells>
  <phoneticPr fontId="2" type="noConversion"/>
  <printOptions horizontalCentered="1" verticalCentered="1" headings="1"/>
  <pageMargins left="0.74803149606299213" right="0.74803149606299213" top="0.98425196850393704" bottom="0.98425196850393704" header="0.51181102362204722" footer="0.51181102362204722"/>
  <pageSetup paperSize="9" scale="48" orientation="landscape" blackAndWhite="1" verticalDpi="300" r:id="rId1"/>
  <headerFooter alignWithMargins="0">
    <oddHeader>&amp;L&amp;"宋体,常规"诚迅金融培训&amp;Rwww.chainshine.com</oddHeader>
    <oddFooter>第 &amp;P 页，共 &amp;N 页</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12</vt:i4>
      </vt:variant>
      <vt:variant>
        <vt:lpstr>命名范围</vt:lpstr>
      </vt:variant>
      <vt:variant>
        <vt:i4>2</vt:i4>
      </vt:variant>
    </vt:vector>
  </HeadingPairs>
  <TitlesOfParts>
    <vt:vector size="14" baseType="lpstr">
      <vt:lpstr>Cover</vt:lpstr>
      <vt:lpstr>Contents</vt:lpstr>
      <vt:lpstr>Revenues</vt:lpstr>
      <vt:lpstr>PP&amp;E</vt:lpstr>
      <vt:lpstr>Financing</vt:lpstr>
      <vt:lpstr>Cals</vt:lpstr>
      <vt:lpstr>IS</vt:lpstr>
      <vt:lpstr>BS</vt:lpstr>
      <vt:lpstr>CFS</vt:lpstr>
      <vt:lpstr>Ratios</vt:lpstr>
      <vt:lpstr>DCF</vt:lpstr>
      <vt:lpstr>Comps</vt:lpstr>
      <vt:lpstr>g</vt:lpstr>
      <vt:lpstr>wacc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Chainshine</dc:creator>
  <cp:lastModifiedBy>Chainshine</cp:lastModifiedBy>
  <cp:lastPrinted>2011-09-05T05:55:45Z</cp:lastPrinted>
  <dcterms:created xsi:type="dcterms:W3CDTF">1996-12-17T01:32:42Z</dcterms:created>
  <dcterms:modified xsi:type="dcterms:W3CDTF">2017-08-04T05:30:15Z</dcterms:modified>
</cp:coreProperties>
</file>