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unding Round" sheetId="1" r:id="rId3"/>
    <sheet state="visible" name="Debt Round" sheetId="2" r:id="rId4"/>
    <sheet state="visible" name="First Equity Round" sheetId="3" r:id="rId5"/>
    <sheet state="visible" name="Next Equity Rounds" sheetId="4" r:id="rId6"/>
    <sheet state="visible" name="Valuation Cap" sheetId="5" r:id="rId7"/>
  </sheets>
  <definedNames/>
  <calcPr/>
</workbook>
</file>

<file path=xl/sharedStrings.xml><?xml version="1.0" encoding="utf-8"?>
<sst xmlns="http://schemas.openxmlformats.org/spreadsheetml/2006/main" count="137" uniqueCount="65">
  <si>
    <r>
      <t xml:space="preserve">This calculation sheet has been released under GNU General Public License v2.0.
You may read the license text in the LICENSE file present at
</t>
    </r>
    <r>
      <rPr>
        <b/>
      </rPr>
      <t>https://github.com/i01000001/FoundersDiary/blob/master/LICENSE.</t>
    </r>
    <r>
      <t xml:space="preserve">
Please do not redistribute the sheet without this license preamble.
Use cells with green text to update information relevant to your startup.
</t>
    </r>
  </si>
  <si>
    <t>Founders</t>
  </si>
  <si>
    <t>Lallan</t>
  </si>
  <si>
    <t>Chaggan guru</t>
  </si>
  <si>
    <t>Mia Mumman</t>
  </si>
  <si>
    <t>Golu</t>
  </si>
  <si>
    <t>Equity</t>
  </si>
  <si>
    <t>Before</t>
  </si>
  <si>
    <t>No. of Shares</t>
  </si>
  <si>
    <t>Face Value</t>
  </si>
  <si>
    <t>Shareholding</t>
  </si>
  <si>
    <t>Shares</t>
  </si>
  <si>
    <t>Paid-Up Cap</t>
  </si>
  <si>
    <t>Amount</t>
  </si>
  <si>
    <r>
      <t xml:space="preserve">This calculation sheet has been released under GNU General Public License v2.0.
You may read the license text in the LICENSE file present at
</t>
    </r>
    <r>
      <rPr>
        <b/>
      </rPr>
      <t>https://github.com/i01000001/FoundersDiary/blob/master/LICENSE.</t>
    </r>
    <r>
      <t xml:space="preserve">
Please do not redistribute the sheet without this license preamble.
Use cells with green text to update information relevant to your startup.
</t>
    </r>
  </si>
  <si>
    <t>Investors</t>
  </si>
  <si>
    <t>Guddan</t>
  </si>
  <si>
    <t>Laali</t>
  </si>
  <si>
    <t>Puttan</t>
  </si>
  <si>
    <t>Bankelal</t>
  </si>
  <si>
    <t>Appreciation</t>
  </si>
  <si>
    <t>INTEREST</t>
  </si>
  <si>
    <t>Valuation Cap</t>
  </si>
  <si>
    <t>Total Shares</t>
  </si>
  <si>
    <t>Discount Based Appreciation</t>
  </si>
  <si>
    <t>Total Paid-Up</t>
  </si>
  <si>
    <t>Debt Round</t>
  </si>
  <si>
    <t>Investment</t>
  </si>
  <si>
    <t>Discount</t>
  </si>
  <si>
    <t>Maturity Amt</t>
  </si>
  <si>
    <t>Total Debt</t>
  </si>
  <si>
    <t>Interest Based Appreciation</t>
  </si>
  <si>
    <t>Interest/ Year</t>
  </si>
  <si>
    <t>Non-compunded</t>
  </si>
  <si>
    <t>Duration (Yrs)</t>
  </si>
  <si>
    <t>Total Worth</t>
  </si>
  <si>
    <r>
      <t xml:space="preserve">This calculation sheet has been released under GNU General Public License v2.0.
You may read the license text in the LICENSE file present at
</t>
    </r>
    <r>
      <rPr>
        <b/>
      </rPr>
      <t>https://github.com/i01000001/FoundersDiary/blob/master/LICENSE.</t>
    </r>
    <r>
      <t xml:space="preserve">
Please do not redistribute the sheet without this license preamble.
Use cells with green text to update information relevant to your startup.
</t>
    </r>
  </si>
  <si>
    <t>VC 1</t>
  </si>
  <si>
    <t>Bawandar Mix</t>
  </si>
  <si>
    <t>PreMoney Val</t>
  </si>
  <si>
    <t>Option Pool</t>
  </si>
  <si>
    <t>PostMoney Val</t>
  </si>
  <si>
    <t>After</t>
  </si>
  <si>
    <t>Valuation</t>
  </si>
  <si>
    <t>Price/ Share</t>
  </si>
  <si>
    <t>Pre-Money</t>
  </si>
  <si>
    <t>Post-Money</t>
  </si>
  <si>
    <t>Option Pool 1</t>
  </si>
  <si>
    <t>Price/ Share thru Valuation Cap</t>
  </si>
  <si>
    <t>Encashment</t>
  </si>
  <si>
    <t>Final Debt</t>
  </si>
  <si>
    <t>Round 1</t>
  </si>
  <si>
    <t>Debt Convert</t>
  </si>
  <si>
    <r>
      <t xml:space="preserve">This calculation sheet has been released under GNU General Public License v2.0.
You may read the license text in the LICENSE file present at
</t>
    </r>
    <r>
      <rPr>
        <b/>
      </rPr>
      <t>https://github.com/i01000001/FoundersDiary/blob/master/LICENSE.</t>
    </r>
    <r>
      <t xml:space="preserve">
Please do not redistribute the sheet without this license preamble.
Use cells with green text to update information relevant to your startup.
</t>
    </r>
  </si>
  <si>
    <r>
      <t xml:space="preserve">This calculation sheet has been released under GNU General Public License v2.0.
You may read the license text in the LICENSE file present at
</t>
    </r>
    <r>
      <rPr>
        <b/>
      </rPr>
      <t>https://github.com/i01000001/FoundersDiary/blob/master/LICENSE</t>
    </r>
    <r>
      <t xml:space="preserve">.
Please do not redistribute the sheet without this license preamble.
Use cells with green text to update information relevant to your startup.
</t>
    </r>
  </si>
  <si>
    <t>VC 2</t>
  </si>
  <si>
    <t>VC 3</t>
  </si>
  <si>
    <t>Jaggu Dada</t>
  </si>
  <si>
    <t>Bhokaali Baba</t>
  </si>
  <si>
    <t>Round 2</t>
  </si>
  <si>
    <t>Round 3</t>
  </si>
  <si>
    <t>Option Pool 2</t>
  </si>
  <si>
    <t>Option Pool 3</t>
  </si>
  <si>
    <t>Pre-Mon/ OP 2</t>
  </si>
  <si>
    <t>Pre-Mon/ OP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</si>
</sst>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&gt;9999999]##\,##\,##\,##0.00;[&gt;99999]##\,##\,##0.00;##,##0.00"/>
    <numFmt numFmtId="165" formatCode="[&gt;9999999]##\,##\,##\,##0;[&gt;99999]##\,##\,##0;##,##0"/>
    <numFmt numFmtId="166" formatCode="[&gt;9999999]##\,##\,##\,##0.0000;[&gt;99999]##\,##\,##0.0000;##,##0.0000"/>
    <numFmt numFmtId="167" formatCode="0.0000%"/>
  </numFmts>
  <fonts count="11">
    <font>
      <sz val="10.0"/>
      <color rgb="FF000000"/>
      <name val="Arial"/>
    </font>
    <font/>
    <font>
      <b/>
    </font>
    <font>
      <b/>
      <color rgb="FF6AA84F"/>
    </font>
    <font>
      <b/>
      <name val="Arial"/>
    </font>
    <font>
      <b/>
      <color rgb="FF6AA84F"/>
      <name val="Arial"/>
    </font>
    <font>
      <name val="Arial"/>
    </font>
    <font>
      <b/>
      <color rgb="FF000000"/>
      <name val="Arial"/>
    </font>
    <font>
      <color rgb="FF000000"/>
      <name val="Arial"/>
    </font>
    <font>
      <b/>
      <color rgb="FF000000"/>
    </font>
    <font>
      <b/>
      <color rgb="FF274E13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2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0" fillId="0" fontId="1" numFmtId="0" xfId="0" applyAlignment="1" applyFont="1">
      <alignment readingOrder="0"/>
    </xf>
    <xf borderId="4" fillId="2" fontId="2" numFmtId="0" xfId="0" applyAlignment="1" applyBorder="1" applyFill="1" applyFont="1">
      <alignment readingOrder="0"/>
    </xf>
    <xf borderId="1" fillId="2" fontId="2" numFmtId="0" xfId="0" applyAlignment="1" applyBorder="1" applyFont="1">
      <alignment horizontal="left" readingOrder="0"/>
    </xf>
    <xf borderId="2" fillId="2" fontId="2" numFmtId="0" xfId="0" applyAlignment="1" applyBorder="1" applyFont="1">
      <alignment horizontal="left" readingOrder="0"/>
    </xf>
    <xf borderId="3" fillId="2" fontId="2" numFmtId="0" xfId="0" applyAlignment="1" applyBorder="1" applyFont="1">
      <alignment horizontal="left" readingOrder="0"/>
    </xf>
    <xf borderId="5" fillId="2" fontId="2" numFmtId="0" xfId="0" applyAlignment="1" applyBorder="1" applyFont="1">
      <alignment readingOrder="0"/>
    </xf>
    <xf borderId="6" fillId="3" fontId="3" numFmtId="0" xfId="0" applyAlignment="1" applyBorder="1" applyFill="1" applyFont="1">
      <alignment readingOrder="0"/>
    </xf>
    <xf borderId="7" fillId="3" fontId="3" numFmtId="0" xfId="0" applyAlignment="1" applyBorder="1" applyFont="1">
      <alignment readingOrder="0"/>
    </xf>
    <xf borderId="4" fillId="2" fontId="4" numFmtId="0" xfId="0" applyAlignment="1" applyBorder="1" applyFont="1">
      <alignment readingOrder="0" vertical="bottom"/>
    </xf>
    <xf borderId="3" fillId="2" fontId="4" numFmtId="0" xfId="0" applyAlignment="1" applyBorder="1" applyFont="1">
      <alignment horizontal="right" vertical="bottom"/>
    </xf>
    <xf borderId="4" fillId="2" fontId="4" numFmtId="0" xfId="0" applyAlignment="1" applyBorder="1" applyFont="1">
      <alignment vertical="bottom"/>
    </xf>
    <xf borderId="8" fillId="3" fontId="5" numFmtId="164" xfId="0" applyAlignment="1" applyBorder="1" applyFont="1" applyNumberFormat="1">
      <alignment horizontal="right" vertical="bottom"/>
    </xf>
    <xf borderId="9" fillId="2" fontId="4" numFmtId="0" xfId="0" applyAlignment="1" applyBorder="1" applyFont="1">
      <alignment vertical="bottom"/>
    </xf>
    <xf borderId="10" fillId="3" fontId="5" numFmtId="10" xfId="0" applyAlignment="1" applyBorder="1" applyFont="1" applyNumberFormat="1">
      <alignment horizontal="right" readingOrder="0" vertical="bottom"/>
    </xf>
    <xf borderId="5" fillId="2" fontId="4" numFmtId="0" xfId="0" applyAlignment="1" applyBorder="1" applyFont="1">
      <alignment vertical="bottom"/>
    </xf>
    <xf borderId="7" fillId="3" fontId="5" numFmtId="164" xfId="0" applyAlignment="1" applyBorder="1" applyFont="1" applyNumberFormat="1">
      <alignment horizontal="right" vertical="bottom"/>
    </xf>
    <xf borderId="11" fillId="2" fontId="4" numFmtId="0" xfId="0" applyAlignment="1" applyBorder="1" applyFont="1">
      <alignment readingOrder="0" vertical="bottom"/>
    </xf>
    <xf borderId="9" fillId="3" fontId="5" numFmtId="10" xfId="0" applyAlignment="1" applyBorder="1" applyFont="1" applyNumberFormat="1">
      <alignment horizontal="right" readingOrder="0" vertical="bottom"/>
    </xf>
    <xf borderId="0" fillId="4" fontId="4" numFmtId="0" xfId="0" applyAlignment="1" applyFill="1" applyFont="1">
      <alignment horizontal="right" vertical="bottom"/>
    </xf>
    <xf borderId="12" fillId="2" fontId="4" numFmtId="0" xfId="0" applyAlignment="1" applyBorder="1" applyFont="1">
      <alignment vertical="bottom"/>
    </xf>
    <xf borderId="5" fillId="3" fontId="5" numFmtId="10" xfId="0" applyAlignment="1" applyBorder="1" applyFont="1" applyNumberFormat="1">
      <alignment horizontal="right" readingOrder="0" vertical="bottom"/>
    </xf>
    <xf borderId="0" fillId="4" fontId="6" numFmtId="10" xfId="0" applyAlignment="1" applyFont="1" applyNumberFormat="1">
      <alignment horizontal="right" vertical="bottom"/>
    </xf>
    <xf borderId="4" fillId="2" fontId="4" numFmtId="164" xfId="0" applyAlignment="1" applyBorder="1" applyFont="1" applyNumberFormat="1">
      <alignment readingOrder="0" vertical="bottom"/>
    </xf>
    <xf borderId="13" fillId="2" fontId="7" numFmtId="164" xfId="0" applyAlignment="1" applyBorder="1" applyFont="1" applyNumberFormat="1">
      <alignment horizontal="right" readingOrder="0" vertical="bottom"/>
    </xf>
    <xf borderId="0" fillId="4" fontId="4" numFmtId="164" xfId="0" applyAlignment="1" applyFont="1" applyNumberFormat="1">
      <alignment horizontal="right" vertical="bottom"/>
    </xf>
    <xf borderId="14" fillId="2" fontId="2" numFmtId="0" xfId="0" applyAlignment="1" applyBorder="1" applyFont="1">
      <alignment horizontal="left" readingOrder="0"/>
    </xf>
    <xf borderId="8" fillId="2" fontId="2" numFmtId="0" xfId="0" applyAlignment="1" applyBorder="1" applyFont="1">
      <alignment horizontal="left" readingOrder="0"/>
    </xf>
    <xf borderId="9" fillId="3" fontId="8" numFmtId="164" xfId="0" applyAlignment="1" applyBorder="1" applyFont="1" applyNumberFormat="1">
      <alignment horizontal="right" vertical="bottom"/>
    </xf>
    <xf borderId="0" fillId="4" fontId="6" numFmtId="164" xfId="0" applyAlignment="1" applyFont="1" applyNumberFormat="1">
      <alignment horizontal="right" vertical="bottom"/>
    </xf>
    <xf borderId="11" fillId="4" fontId="3" numFmtId="0" xfId="0" applyBorder="1" applyFont="1"/>
    <xf borderId="0" fillId="4" fontId="3" numFmtId="0" xfId="0" applyFont="1"/>
    <xf borderId="11" fillId="2" fontId="2" numFmtId="0" xfId="0" applyAlignment="1" applyBorder="1" applyFont="1">
      <alignment readingOrder="0"/>
    </xf>
    <xf borderId="15" fillId="3" fontId="3" numFmtId="0" xfId="0" applyAlignment="1" applyBorder="1" applyFont="1">
      <alignment readingOrder="0"/>
    </xf>
    <xf borderId="14" fillId="3" fontId="3" numFmtId="0" xfId="0" applyAlignment="1" applyBorder="1" applyFont="1">
      <alignment readingOrder="0"/>
    </xf>
    <xf borderId="8" fillId="3" fontId="3" numFmtId="0" xfId="0" applyAlignment="1" applyBorder="1" applyFont="1">
      <alignment readingOrder="0"/>
    </xf>
    <xf borderId="0" fillId="4" fontId="1" numFmtId="0" xfId="0" applyFont="1"/>
    <xf borderId="12" fillId="2" fontId="2" numFmtId="0" xfId="0" applyAlignment="1" applyBorder="1" applyFont="1">
      <alignment readingOrder="0"/>
    </xf>
    <xf borderId="12" fillId="3" fontId="3" numFmtId="0" xfId="0" applyAlignment="1" applyBorder="1" applyFont="1">
      <alignment readingOrder="0"/>
    </xf>
    <xf borderId="13" fillId="2" fontId="4" numFmtId="0" xfId="0" applyAlignment="1" applyBorder="1" applyFont="1">
      <alignment readingOrder="0" vertical="bottom"/>
    </xf>
    <xf borderId="2" fillId="3" fontId="5" numFmtId="164" xfId="0" applyAlignment="1" applyBorder="1" applyFont="1" applyNumberFormat="1">
      <alignment horizontal="right" readingOrder="0" vertical="bottom"/>
    </xf>
    <xf borderId="5" fillId="2" fontId="4" numFmtId="0" xfId="0" applyAlignment="1" applyBorder="1" applyFont="1">
      <alignment readingOrder="0" vertical="bottom"/>
    </xf>
    <xf borderId="3" fillId="3" fontId="5" numFmtId="164" xfId="0" applyAlignment="1" applyBorder="1" applyFont="1" applyNumberFormat="1">
      <alignment horizontal="right" readingOrder="0" vertical="bottom"/>
    </xf>
    <xf borderId="5" fillId="3" fontId="6" numFmtId="164" xfId="0" applyAlignment="1" applyBorder="1" applyFont="1" applyNumberFormat="1">
      <alignment horizontal="right" vertical="bottom"/>
    </xf>
    <xf borderId="1" fillId="5" fontId="2" numFmtId="0" xfId="0" applyAlignment="1" applyBorder="1" applyFill="1" applyFont="1">
      <alignment horizontal="center" readingOrder="0"/>
    </xf>
    <xf borderId="0" fillId="4" fontId="4" numFmtId="0" xfId="0" applyAlignment="1" applyFont="1">
      <alignment vertical="bottom"/>
    </xf>
    <xf borderId="0" fillId="0" fontId="6" numFmtId="164" xfId="0" applyAlignment="1" applyFont="1" applyNumberFormat="1">
      <alignment horizontal="right" vertical="bottom"/>
    </xf>
    <xf borderId="0" fillId="4" fontId="6" numFmtId="0" xfId="0" applyAlignment="1" applyFont="1">
      <alignment vertical="bottom"/>
    </xf>
    <xf borderId="11" fillId="0" fontId="1" numFmtId="0" xfId="0" applyBorder="1" applyFont="1"/>
    <xf borderId="10" fillId="0" fontId="1" numFmtId="0" xfId="0" applyBorder="1" applyFont="1"/>
    <xf borderId="0" fillId="0" fontId="6" numFmtId="10" xfId="0" applyAlignment="1" applyFont="1" applyNumberFormat="1">
      <alignment horizontal="right" vertical="bottom"/>
    </xf>
    <xf borderId="2" fillId="2" fontId="4" numFmtId="0" xfId="0" applyAlignment="1" applyBorder="1" applyFont="1">
      <alignment horizontal="right" vertical="bottom"/>
    </xf>
    <xf borderId="11" fillId="0" fontId="6" numFmtId="10" xfId="0" applyAlignment="1" applyBorder="1" applyFont="1" applyNumberFormat="1">
      <alignment horizontal="right" vertical="bottom"/>
    </xf>
    <xf borderId="0" fillId="3" fontId="5" numFmtId="164" xfId="0" applyAlignment="1" applyFont="1" applyNumberFormat="1">
      <alignment horizontal="right" vertical="bottom"/>
    </xf>
    <xf borderId="10" fillId="3" fontId="5" numFmtId="164" xfId="0" applyAlignment="1" applyBorder="1" applyFont="1" applyNumberFormat="1">
      <alignment horizontal="right" vertical="bottom"/>
    </xf>
    <xf borderId="0" fillId="3" fontId="5" numFmtId="10" xfId="0" applyAlignment="1" applyFont="1" applyNumberFormat="1">
      <alignment horizontal="right" vertical="bottom"/>
    </xf>
    <xf borderId="10" fillId="3" fontId="5" numFmtId="10" xfId="0" applyAlignment="1" applyBorder="1" applyFont="1" applyNumberFormat="1">
      <alignment horizontal="right" vertical="bottom"/>
    </xf>
    <xf borderId="0" fillId="0" fontId="6" numFmtId="0" xfId="0" applyAlignment="1" applyFont="1">
      <alignment vertical="bottom"/>
    </xf>
    <xf borderId="6" fillId="3" fontId="6" numFmtId="164" xfId="0" applyAlignment="1" applyBorder="1" applyFont="1" applyNumberFormat="1">
      <alignment horizontal="right" vertical="bottom"/>
    </xf>
    <xf borderId="7" fillId="3" fontId="6" numFmtId="164" xfId="0" applyAlignment="1" applyBorder="1" applyFont="1" applyNumberFormat="1">
      <alignment horizontal="right" vertical="bottom"/>
    </xf>
    <xf borderId="12" fillId="0" fontId="6" numFmtId="164" xfId="0" applyAlignment="1" applyBorder="1" applyFont="1" applyNumberFormat="1">
      <alignment vertical="bottom"/>
    </xf>
    <xf borderId="6" fillId="0" fontId="6" numFmtId="164" xfId="0" applyAlignment="1" applyBorder="1" applyFont="1" applyNumberFormat="1">
      <alignment vertical="bottom"/>
    </xf>
    <xf borderId="6" fillId="0" fontId="6" numFmtId="0" xfId="0" applyAlignment="1" applyBorder="1" applyFont="1">
      <alignment vertical="bottom"/>
    </xf>
    <xf borderId="7" fillId="0" fontId="6" numFmtId="0" xfId="0" applyAlignment="1" applyBorder="1" applyFont="1">
      <alignment vertical="bottom"/>
    </xf>
    <xf borderId="0" fillId="0" fontId="6" numFmtId="164" xfId="0" applyAlignment="1" applyFont="1" applyNumberFormat="1">
      <alignment vertical="bottom"/>
    </xf>
    <xf borderId="9" fillId="2" fontId="4" numFmtId="0" xfId="0" applyAlignment="1" applyBorder="1" applyFont="1">
      <alignment readingOrder="0" vertical="bottom"/>
    </xf>
    <xf borderId="0" fillId="3" fontId="5" numFmtId="10" xfId="0" applyAlignment="1" applyFont="1" applyNumberFormat="1">
      <alignment horizontal="right" readingOrder="0" vertical="bottom"/>
    </xf>
    <xf borderId="0" fillId="0" fontId="6" numFmtId="0" xfId="0" applyAlignment="1" applyFont="1">
      <alignment readingOrder="0" vertical="bottom"/>
    </xf>
    <xf borderId="0" fillId="3" fontId="5" numFmtId="165" xfId="0" applyAlignment="1" applyFont="1" applyNumberFormat="1">
      <alignment horizontal="right" readingOrder="0" vertical="bottom"/>
    </xf>
    <xf borderId="10" fillId="3" fontId="5" numFmtId="165" xfId="0" applyAlignment="1" applyBorder="1" applyFont="1" applyNumberFormat="1">
      <alignment horizontal="right" readingOrder="0" vertical="bottom"/>
    </xf>
    <xf borderId="13" fillId="2" fontId="9" numFmtId="0" xfId="0" applyAlignment="1" applyBorder="1" applyFont="1">
      <alignment horizontal="left" readingOrder="0"/>
    </xf>
    <xf borderId="7" fillId="3" fontId="3" numFmtId="0" xfId="0" applyAlignment="1" applyBorder="1" applyFont="1">
      <alignment horizontal="left" readingOrder="0"/>
    </xf>
    <xf borderId="0" fillId="4" fontId="2" numFmtId="0" xfId="0" applyAlignment="1" applyFont="1">
      <alignment horizontal="center" readingOrder="0"/>
    </xf>
    <xf borderId="0" fillId="4" fontId="3" numFmtId="0" xfId="0" applyAlignment="1" applyFont="1">
      <alignment horizontal="center" readingOrder="0"/>
    </xf>
    <xf borderId="0" fillId="4" fontId="1" numFmtId="0" xfId="0" applyAlignment="1" applyFont="1">
      <alignment horizontal="center"/>
    </xf>
    <xf borderId="8" fillId="3" fontId="5" numFmtId="164" xfId="0" applyAlignment="1" applyBorder="1" applyFont="1" applyNumberFormat="1">
      <alignment horizontal="right" readingOrder="0" vertical="bottom"/>
    </xf>
    <xf borderId="3" fillId="3" fontId="5" numFmtId="10" xfId="0" applyAlignment="1" applyBorder="1" applyFont="1" applyNumberFormat="1">
      <alignment readingOrder="0" vertical="bottom"/>
    </xf>
    <xf borderId="0" fillId="4" fontId="6" numFmtId="164" xfId="0" applyAlignment="1" applyFont="1" applyNumberFormat="1">
      <alignment vertical="bottom"/>
    </xf>
    <xf borderId="10" fillId="3" fontId="8" numFmtId="164" xfId="0" applyAlignment="1" applyBorder="1" applyFont="1" applyNumberFormat="1">
      <alignment horizontal="right" vertical="bottom"/>
    </xf>
    <xf borderId="0" fillId="4" fontId="5" numFmtId="164" xfId="0" applyAlignment="1" applyFont="1" applyNumberFormat="1">
      <alignment horizontal="right" vertical="bottom"/>
    </xf>
    <xf borderId="7" fillId="3" fontId="5" numFmtId="10" xfId="0" applyAlignment="1" applyBorder="1" applyFont="1" applyNumberFormat="1">
      <alignment horizontal="right" vertical="bottom"/>
    </xf>
    <xf borderId="6" fillId="2" fontId="4" numFmtId="0" xfId="0" applyAlignment="1" applyBorder="1" applyFont="1">
      <alignment horizontal="right" vertical="bottom"/>
    </xf>
    <xf borderId="0" fillId="3" fontId="8" numFmtId="10" xfId="0" applyAlignment="1" applyFont="1" applyNumberFormat="1">
      <alignment horizontal="right" readingOrder="0" vertical="bottom"/>
    </xf>
    <xf borderId="10" fillId="3" fontId="6" numFmtId="10" xfId="0" applyAlignment="1" applyBorder="1" applyFont="1" applyNumberFormat="1">
      <alignment horizontal="right" vertical="bottom"/>
    </xf>
    <xf borderId="0" fillId="4" fontId="6" numFmtId="10" xfId="0" applyAlignment="1" applyFont="1" applyNumberFormat="1">
      <alignment vertical="bottom"/>
    </xf>
    <xf borderId="11" fillId="3" fontId="8" numFmtId="10" xfId="0" applyAlignment="1" applyBorder="1" applyFont="1" applyNumberFormat="1">
      <alignment horizontal="right" readingOrder="0" vertical="bottom"/>
    </xf>
    <xf borderId="12" fillId="3" fontId="8" numFmtId="10" xfId="0" applyAlignment="1" applyBorder="1" applyFont="1" applyNumberFormat="1">
      <alignment horizontal="right" readingOrder="0" vertical="bottom"/>
    </xf>
    <xf borderId="10" fillId="3" fontId="1" numFmtId="0" xfId="0" applyBorder="1" applyFont="1"/>
    <xf borderId="7" fillId="3" fontId="8" numFmtId="10" xfId="0" applyAlignment="1" applyBorder="1" applyFont="1" applyNumberFormat="1">
      <alignment horizontal="right" vertical="bottom"/>
    </xf>
    <xf borderId="5" fillId="2" fontId="6" numFmtId="0" xfId="0" applyAlignment="1" applyBorder="1" applyFont="1">
      <alignment vertical="bottom"/>
    </xf>
    <xf borderId="6" fillId="3" fontId="6" numFmtId="10" xfId="0" applyAlignment="1" applyBorder="1" applyFont="1" applyNumberFormat="1">
      <alignment horizontal="right" vertical="bottom"/>
    </xf>
    <xf borderId="7" fillId="3" fontId="6" numFmtId="10" xfId="0" applyAlignment="1" applyBorder="1" applyFont="1" applyNumberFormat="1">
      <alignment horizontal="right" vertical="bottom"/>
    </xf>
    <xf borderId="6" fillId="4" fontId="6" numFmtId="0" xfId="0" applyAlignment="1" applyBorder="1" applyFont="1">
      <alignment vertical="bottom"/>
    </xf>
    <xf borderId="9" fillId="2" fontId="4" numFmtId="164" xfId="0" applyAlignment="1" applyBorder="1" applyFont="1" applyNumberFormat="1">
      <alignment readingOrder="0" vertical="bottom"/>
    </xf>
    <xf borderId="6" fillId="2" fontId="7" numFmtId="164" xfId="0" applyAlignment="1" applyBorder="1" applyFont="1" applyNumberFormat="1">
      <alignment horizontal="right" vertical="bottom"/>
    </xf>
    <xf borderId="7" fillId="2" fontId="4" numFmtId="164" xfId="0" applyAlignment="1" applyBorder="1" applyFont="1" applyNumberFormat="1">
      <alignment horizontal="right" vertical="bottom"/>
    </xf>
    <xf borderId="9" fillId="2" fontId="6" numFmtId="0" xfId="0" applyAlignment="1" applyBorder="1" applyFont="1">
      <alignment vertical="bottom"/>
    </xf>
    <xf borderId="0" fillId="3" fontId="8" numFmtId="164" xfId="0" applyAlignment="1" applyFont="1" applyNumberFormat="1">
      <alignment horizontal="right" readingOrder="0" vertical="bottom"/>
    </xf>
    <xf borderId="10" fillId="3" fontId="6" numFmtId="164" xfId="0" applyAlignment="1" applyBorder="1" applyFont="1" applyNumberFormat="1">
      <alignment horizontal="right" vertical="bottom"/>
    </xf>
    <xf borderId="0" fillId="3" fontId="6" numFmtId="164" xfId="0" applyAlignment="1" applyFont="1" applyNumberFormat="1">
      <alignment horizontal="right" vertical="bottom"/>
    </xf>
    <xf borderId="4" fillId="3" fontId="6" numFmtId="164" xfId="0" applyAlignment="1" applyBorder="1" applyFont="1" applyNumberFormat="1">
      <alignment horizontal="right" vertical="bottom"/>
    </xf>
    <xf borderId="0" fillId="3" fontId="6" numFmtId="164" xfId="0" applyAlignment="1" applyFont="1" applyNumberFormat="1">
      <alignment vertical="bottom"/>
    </xf>
    <xf borderId="8" fillId="3" fontId="6" numFmtId="164" xfId="0" applyAlignment="1" applyBorder="1" applyFont="1" applyNumberFormat="1">
      <alignment horizontal="right" vertical="bottom"/>
    </xf>
    <xf borderId="7" fillId="2" fontId="4" numFmtId="0" xfId="0" applyAlignment="1" applyBorder="1" applyFont="1">
      <alignment horizontal="right" vertical="bottom"/>
    </xf>
    <xf borderId="0" fillId="3" fontId="8" numFmtId="10" xfId="0" applyAlignment="1" applyFont="1" applyNumberFormat="1">
      <alignment horizontal="right" vertical="bottom"/>
    </xf>
    <xf borderId="0" fillId="3" fontId="6" numFmtId="10" xfId="0" applyAlignment="1" applyFont="1" applyNumberFormat="1">
      <alignment horizontal="right" vertical="bottom"/>
    </xf>
    <xf borderId="11" fillId="3" fontId="8" numFmtId="10" xfId="0" applyAlignment="1" applyBorder="1" applyFont="1" applyNumberFormat="1">
      <alignment horizontal="right" vertical="bottom"/>
    </xf>
    <xf borderId="6" fillId="3" fontId="8" numFmtId="10" xfId="0" applyAlignment="1" applyBorder="1" applyFont="1" applyNumberFormat="1">
      <alignment horizontal="right" vertical="bottom"/>
    </xf>
    <xf borderId="6" fillId="6" fontId="8" numFmtId="10" xfId="0" applyAlignment="1" applyBorder="1" applyFill="1" applyFont="1" applyNumberFormat="1">
      <alignment horizontal="right" vertical="bottom"/>
    </xf>
    <xf borderId="10" fillId="6" fontId="6" numFmtId="10" xfId="0" applyAlignment="1" applyBorder="1" applyFont="1" applyNumberFormat="1">
      <alignment horizontal="right" vertical="bottom"/>
    </xf>
    <xf borderId="0" fillId="3" fontId="6" numFmtId="4" xfId="0" applyAlignment="1" applyFont="1" applyNumberFormat="1">
      <alignment vertical="bottom"/>
    </xf>
    <xf borderId="6" fillId="3" fontId="6" numFmtId="10" xfId="0" applyAlignment="1" applyBorder="1" applyFont="1" applyNumberFormat="1">
      <alignment vertical="bottom"/>
    </xf>
    <xf borderId="0" fillId="4" fontId="5" numFmtId="165" xfId="0" applyAlignment="1" applyFont="1" applyNumberFormat="1">
      <alignment horizontal="right" vertical="bottom"/>
    </xf>
    <xf borderId="6" fillId="4" fontId="5" numFmtId="165" xfId="0" applyAlignment="1" applyBorder="1" applyFont="1" applyNumberFormat="1">
      <alignment horizontal="right" readingOrder="0" vertical="bottom"/>
    </xf>
    <xf borderId="6" fillId="4" fontId="6" numFmtId="164" xfId="0" applyAlignment="1" applyBorder="1" applyFont="1" applyNumberFormat="1">
      <alignment vertical="bottom"/>
    </xf>
    <xf borderId="9" fillId="2" fontId="4" numFmtId="164" xfId="0" applyAlignment="1" applyBorder="1" applyFont="1" applyNumberFormat="1">
      <alignment vertical="bottom"/>
    </xf>
    <xf borderId="6" fillId="2" fontId="4" numFmtId="164" xfId="0" applyAlignment="1" applyBorder="1" applyFont="1" applyNumberFormat="1">
      <alignment horizontal="right" vertical="bottom"/>
    </xf>
    <xf borderId="0" fillId="3" fontId="8" numFmtId="164" xfId="0" applyAlignment="1" applyFont="1" applyNumberFormat="1">
      <alignment horizontal="right" vertical="bottom"/>
    </xf>
    <xf borderId="4" fillId="3" fontId="8" numFmtId="164" xfId="0" applyAlignment="1" applyBorder="1" applyFont="1" applyNumberFormat="1">
      <alignment horizontal="right" vertical="bottom"/>
    </xf>
    <xf borderId="0" fillId="6" fontId="8" numFmtId="164" xfId="0" applyAlignment="1" applyFont="1" applyNumberFormat="1">
      <alignment horizontal="right" vertical="bottom"/>
    </xf>
    <xf borderId="10" fillId="6" fontId="8" numFmtId="164" xfId="0" applyAlignment="1" applyBorder="1" applyFont="1" applyNumberFormat="1">
      <alignment horizontal="right" vertical="bottom"/>
    </xf>
    <xf borderId="8" fillId="3" fontId="8" numFmtId="164" xfId="0" applyAlignment="1" applyBorder="1" applyFont="1" applyNumberFormat="1">
      <alignment horizontal="right" vertical="bottom"/>
    </xf>
    <xf borderId="6" fillId="3" fontId="8" numFmtId="164" xfId="0" applyAlignment="1" applyBorder="1" applyFont="1" applyNumberFormat="1">
      <alignment horizontal="right" vertical="bottom"/>
    </xf>
    <xf borderId="7" fillId="3" fontId="8" numFmtId="164" xfId="0" applyAlignment="1" applyBorder="1" applyFont="1" applyNumberFormat="1">
      <alignment horizontal="right" vertical="bottom"/>
    </xf>
    <xf borderId="0" fillId="3" fontId="6" numFmtId="164" xfId="0" applyAlignment="1" applyFont="1" applyNumberFormat="1">
      <alignment horizontal="right" readingOrder="0" vertical="bottom"/>
    </xf>
    <xf borderId="10" fillId="3" fontId="6" numFmtId="164" xfId="0" applyAlignment="1" applyBorder="1" applyFont="1" applyNumberFormat="1">
      <alignment horizontal="right" readingOrder="0" vertical="bottom"/>
    </xf>
    <xf borderId="0" fillId="3" fontId="6" numFmtId="164" xfId="0" applyAlignment="1" applyFont="1" applyNumberFormat="1">
      <alignment horizontal="right" vertical="bottom"/>
    </xf>
    <xf borderId="10" fillId="3" fontId="6" numFmtId="164" xfId="0" applyAlignment="1" applyBorder="1" applyFont="1" applyNumberFormat="1">
      <alignment horizontal="right" vertical="bottom"/>
    </xf>
    <xf borderId="6" fillId="3" fontId="6" numFmtId="166" xfId="0" applyAlignment="1" applyBorder="1" applyFont="1" applyNumberFormat="1">
      <alignment horizontal="right" vertical="bottom"/>
    </xf>
    <xf borderId="7" fillId="3" fontId="6" numFmtId="166" xfId="0" applyAlignment="1" applyBorder="1" applyFont="1" applyNumberFormat="1">
      <alignment horizontal="right" vertical="bottom"/>
    </xf>
    <xf borderId="15" fillId="2" fontId="4" numFmtId="0" xfId="0" applyAlignment="1" applyBorder="1" applyFont="1">
      <alignment vertical="bottom"/>
    </xf>
    <xf borderId="15" fillId="2" fontId="4" numFmtId="0" xfId="0" applyAlignment="1" applyBorder="1" applyFont="1">
      <alignment horizontal="center" vertical="bottom"/>
    </xf>
    <xf borderId="14" fillId="0" fontId="1" numFmtId="0" xfId="0" applyBorder="1" applyFont="1"/>
    <xf borderId="8" fillId="0" fontId="1" numFmtId="0" xfId="0" applyBorder="1" applyFont="1"/>
    <xf borderId="11" fillId="2" fontId="6" numFmtId="0" xfId="0" applyAlignment="1" applyBorder="1" applyFont="1">
      <alignment vertical="bottom"/>
    </xf>
    <xf borderId="12" fillId="2" fontId="4" numFmtId="0" xfId="0" applyAlignment="1" applyBorder="1" applyFont="1">
      <alignment horizontal="right" vertical="bottom"/>
    </xf>
    <xf borderId="0" fillId="2" fontId="4" numFmtId="0" xfId="0" applyAlignment="1" applyFont="1">
      <alignment horizontal="right" readingOrder="0" vertical="bottom"/>
    </xf>
    <xf borderId="7" fillId="2" fontId="2" numFmtId="0" xfId="0" applyAlignment="1" applyBorder="1" applyFont="1">
      <alignment horizontal="right" readingOrder="0"/>
    </xf>
    <xf borderId="15" fillId="3" fontId="8" numFmtId="10" xfId="0" applyAlignment="1" applyBorder="1" applyFont="1" applyNumberFormat="1">
      <alignment horizontal="right" vertical="bottom"/>
    </xf>
    <xf borderId="14" fillId="3" fontId="6" numFmtId="10" xfId="0" applyAlignment="1" applyBorder="1" applyFont="1" applyNumberFormat="1">
      <alignment horizontal="right" vertical="bottom"/>
    </xf>
    <xf borderId="4" fillId="3" fontId="6" numFmtId="10" xfId="0" applyAlignment="1" applyBorder="1" applyFont="1" applyNumberFormat="1">
      <alignment horizontal="right" vertical="bottom"/>
    </xf>
    <xf borderId="0" fillId="6" fontId="6" numFmtId="10" xfId="0" applyAlignment="1" applyFont="1" applyNumberFormat="1">
      <alignment horizontal="right" vertical="bottom"/>
    </xf>
    <xf borderId="11" fillId="3" fontId="6" numFmtId="4" xfId="0" applyAlignment="1" applyBorder="1" applyFont="1" applyNumberFormat="1">
      <alignment vertical="bottom"/>
    </xf>
    <xf borderId="11" fillId="3" fontId="8" numFmtId="167" xfId="0" applyAlignment="1" applyBorder="1" applyFont="1" applyNumberFormat="1">
      <alignment horizontal="right" vertical="bottom"/>
    </xf>
    <xf borderId="10" fillId="3" fontId="1" numFmtId="167" xfId="0" applyBorder="1" applyFont="1" applyNumberFormat="1"/>
    <xf borderId="0" fillId="3" fontId="6" numFmtId="10" xfId="0" applyAlignment="1" applyFont="1" applyNumberFormat="1">
      <alignment vertical="bottom"/>
    </xf>
    <xf borderId="12" fillId="3" fontId="8" numFmtId="167" xfId="0" applyAlignment="1" applyBorder="1" applyFont="1" applyNumberFormat="1">
      <alignment horizontal="right" vertical="bottom"/>
    </xf>
    <xf borderId="0" fillId="3" fontId="6" numFmtId="0" xfId="0" applyAlignment="1" applyFont="1">
      <alignment vertical="bottom"/>
    </xf>
    <xf borderId="10" fillId="3" fontId="8" numFmtId="10" xfId="0" applyAlignment="1" applyBorder="1" applyFont="1" applyNumberFormat="1">
      <alignment horizontal="right" vertical="bottom"/>
    </xf>
    <xf borderId="7" fillId="3" fontId="1" numFmtId="10" xfId="0" applyBorder="1" applyFont="1" applyNumberFormat="1"/>
    <xf borderId="12" fillId="3" fontId="6" numFmtId="10" xfId="0" applyAlignment="1" applyBorder="1" applyFont="1" applyNumberFormat="1">
      <alignment vertical="bottom"/>
    </xf>
    <xf borderId="15" fillId="2" fontId="4" numFmtId="164" xfId="0" applyAlignment="1" applyBorder="1" applyFont="1" applyNumberFormat="1">
      <alignment vertical="bottom"/>
    </xf>
    <xf borderId="15" fillId="2" fontId="4" numFmtId="164" xfId="0" applyAlignment="1" applyBorder="1" applyFont="1" applyNumberFormat="1">
      <alignment horizontal="center" vertical="bottom"/>
    </xf>
    <xf borderId="11" fillId="2" fontId="6" numFmtId="164" xfId="0" applyAlignment="1" applyBorder="1" applyFont="1" applyNumberFormat="1">
      <alignment vertical="bottom"/>
    </xf>
    <xf borderId="12" fillId="2" fontId="4" numFmtId="164" xfId="0" applyAlignment="1" applyBorder="1" applyFont="1" applyNumberFormat="1">
      <alignment horizontal="right" vertical="bottom"/>
    </xf>
    <xf borderId="6" fillId="2" fontId="4" numFmtId="164" xfId="0" applyAlignment="1" applyBorder="1" applyFont="1" applyNumberFormat="1">
      <alignment horizontal="right" readingOrder="0" vertical="bottom"/>
    </xf>
    <xf borderId="15" fillId="3" fontId="8" numFmtId="164" xfId="0" applyAlignment="1" applyBorder="1" applyFont="1" applyNumberFormat="1">
      <alignment horizontal="right" vertical="bottom"/>
    </xf>
    <xf borderId="14" fillId="3" fontId="8" numFmtId="164" xfId="0" applyAlignment="1" applyBorder="1" applyFont="1" applyNumberFormat="1">
      <alignment horizontal="right" vertical="bottom"/>
    </xf>
    <xf borderId="8" fillId="3" fontId="1" numFmtId="164" xfId="0" applyBorder="1" applyFont="1" applyNumberFormat="1"/>
    <xf borderId="11" fillId="3" fontId="7" numFmtId="164" xfId="0" applyAlignment="1" applyBorder="1" applyFont="1" applyNumberFormat="1">
      <alignment horizontal="right" vertical="bottom"/>
    </xf>
    <xf borderId="0" fillId="3" fontId="7" numFmtId="164" xfId="0" applyAlignment="1" applyFont="1" applyNumberFormat="1">
      <alignment horizontal="right" vertical="bottom"/>
    </xf>
    <xf borderId="10" fillId="3" fontId="7" numFmtId="164" xfId="0" applyAlignment="1" applyBorder="1" applyFont="1" applyNumberFormat="1">
      <alignment horizontal="right" vertical="bottom"/>
    </xf>
    <xf borderId="11" fillId="3" fontId="8" numFmtId="164" xfId="0" applyAlignment="1" applyBorder="1" applyFont="1" applyNumberFormat="1">
      <alignment horizontal="right" vertical="bottom"/>
    </xf>
    <xf borderId="12" fillId="3" fontId="8" numFmtId="164" xfId="0" applyAlignment="1" applyBorder="1" applyFont="1" applyNumberFormat="1">
      <alignment horizontal="right" vertical="bottom"/>
    </xf>
    <xf borderId="6" fillId="6" fontId="8" numFmtId="164" xfId="0" applyAlignment="1" applyBorder="1" applyFont="1" applyNumberFormat="1">
      <alignment horizontal="right" vertical="bottom"/>
    </xf>
    <xf borderId="11" fillId="3" fontId="6" numFmtId="164" xfId="0" applyAlignment="1" applyBorder="1" applyFont="1" applyNumberFormat="1">
      <alignment vertical="bottom"/>
    </xf>
    <xf borderId="11" fillId="3" fontId="8" numFmtId="166" xfId="0" applyAlignment="1" applyBorder="1" applyFont="1" applyNumberFormat="1">
      <alignment horizontal="right" vertical="bottom"/>
    </xf>
    <xf borderId="10" fillId="3" fontId="8" numFmtId="166" xfId="0" applyAlignment="1" applyBorder="1" applyFont="1" applyNumberFormat="1">
      <alignment horizontal="right" vertical="bottom"/>
    </xf>
    <xf borderId="10" fillId="3" fontId="6" numFmtId="164" xfId="0" applyAlignment="1" applyBorder="1" applyFont="1" applyNumberFormat="1">
      <alignment vertical="bottom"/>
    </xf>
    <xf borderId="0" fillId="3" fontId="8" numFmtId="166" xfId="0" applyAlignment="1" applyFont="1" applyNumberFormat="1">
      <alignment horizontal="right" vertical="bottom"/>
    </xf>
    <xf borderId="5" fillId="3" fontId="8" numFmtId="164" xfId="0" applyAlignment="1" applyBorder="1" applyFont="1" applyNumberFormat="1">
      <alignment horizontal="right" vertical="bottom"/>
    </xf>
    <xf borderId="12" fillId="3" fontId="6" numFmtId="164" xfId="0" applyAlignment="1" applyBorder="1" applyFont="1" applyNumberFormat="1">
      <alignment vertical="bottom"/>
    </xf>
    <xf borderId="6" fillId="3" fontId="6" numFmtId="164" xfId="0" applyAlignment="1" applyBorder="1" applyFont="1" applyNumberFormat="1">
      <alignment vertical="bottom"/>
    </xf>
    <xf borderId="7" fillId="3" fontId="6" numFmtId="164" xfId="0" applyAlignment="1" applyBorder="1" applyFont="1" applyNumberFormat="1">
      <alignment vertical="bottom"/>
    </xf>
    <xf borderId="1" fillId="2" fontId="4" numFmtId="0" xfId="0" applyAlignment="1" applyBorder="1" applyFont="1">
      <alignment horizontal="right" vertical="bottom"/>
    </xf>
    <xf borderId="0" fillId="3" fontId="6" numFmtId="164" xfId="0" applyAlignment="1" applyFont="1" applyNumberFormat="1">
      <alignment horizontal="right" readingOrder="0" vertical="bottom"/>
    </xf>
    <xf borderId="10" fillId="3" fontId="6" numFmtId="164" xfId="0" applyAlignment="1" applyBorder="1" applyFont="1" applyNumberFormat="1">
      <alignment horizontal="right" readingOrder="0" vertical="bottom"/>
    </xf>
    <xf borderId="2" fillId="0" fontId="6" numFmtId="0" xfId="0" applyAlignment="1" applyBorder="1" applyFont="1">
      <alignment vertical="bottom"/>
    </xf>
    <xf borderId="9" fillId="2" fontId="10" numFmtId="164" xfId="0" applyAlignment="1" applyBorder="1" applyFont="1" applyNumberFormat="1">
      <alignment horizontal="right" vertical="bottom"/>
    </xf>
    <xf borderId="15" fillId="3" fontId="6" numFmtId="10" xfId="0" applyAlignment="1" applyBorder="1" applyFont="1" applyNumberFormat="1">
      <alignment horizontal="right" vertical="bottom"/>
    </xf>
    <xf borderId="8" fillId="3" fontId="6" numFmtId="10" xfId="0" applyAlignment="1" applyBorder="1" applyFont="1" applyNumberFormat="1">
      <alignment horizontal="right" vertical="bottom"/>
    </xf>
    <xf borderId="11" fillId="3" fontId="6" numFmtId="10" xfId="0" applyAlignment="1" applyBorder="1" applyFont="1" applyNumberFormat="1">
      <alignment horizontal="right" vertical="bottom"/>
    </xf>
    <xf borderId="1" fillId="2" fontId="2" numFmtId="0" xfId="0" applyAlignment="1" applyBorder="1" applyFont="1">
      <alignment readingOrder="0"/>
    </xf>
    <xf borderId="3" fillId="2" fontId="2" numFmtId="0" xfId="0" applyAlignment="1" applyBorder="1" applyFont="1">
      <alignment readingOrder="0"/>
    </xf>
    <xf borderId="14" fillId="2" fontId="4" numFmtId="0" xfId="0" applyAlignment="1" applyBorder="1" applyFont="1">
      <alignment horizontal="center" vertical="bottom"/>
    </xf>
    <xf borderId="0" fillId="2" fontId="4" numFmtId="0" xfId="0" applyAlignment="1" applyFont="1">
      <alignment horizontal="right" vertical="bottom"/>
    </xf>
    <xf borderId="10" fillId="2" fontId="4" numFmtId="0" xfId="0" applyAlignment="1" applyBorder="1" applyFont="1">
      <alignment horizontal="right" vertical="bottom"/>
    </xf>
    <xf borderId="14" fillId="3" fontId="8" numFmtId="10" xfId="0" applyAlignment="1" applyBorder="1" applyFont="1" applyNumberFormat="1">
      <alignment horizontal="right" vertical="bottom"/>
    </xf>
    <xf borderId="12" fillId="3" fontId="6" numFmtId="10" xfId="0" applyAlignment="1" applyBorder="1" applyFont="1" applyNumberFormat="1">
      <alignment horizontal="right" vertical="bottom"/>
    </xf>
    <xf borderId="15" fillId="3" fontId="6" numFmtId="164" xfId="0" applyAlignment="1" applyBorder="1" applyFont="1" applyNumberFormat="1">
      <alignment horizontal="right" vertical="bottom"/>
    </xf>
    <xf borderId="14" fillId="3" fontId="6" numFmtId="164" xfId="0" applyAlignment="1" applyBorder="1" applyFont="1" applyNumberFormat="1">
      <alignment horizontal="right" vertical="bottom"/>
    </xf>
    <xf borderId="0" fillId="3" fontId="6" numFmtId="167" xfId="0" applyAlignment="1" applyFont="1" applyNumberFormat="1">
      <alignment horizontal="right" vertical="bottom"/>
    </xf>
    <xf borderId="11" fillId="3" fontId="6" numFmtId="164" xfId="0" applyAlignment="1" applyBorder="1" applyFont="1" applyNumberFormat="1">
      <alignment horizontal="right" vertical="bottom"/>
    </xf>
    <xf borderId="11" fillId="3" fontId="6" numFmtId="167" xfId="0" applyAlignment="1" applyBorder="1" applyFont="1" applyNumberFormat="1">
      <alignment horizontal="right" vertical="bottom"/>
    </xf>
    <xf borderId="5" fillId="2" fontId="10" numFmtId="164" xfId="0" applyAlignment="1" applyBorder="1" applyFont="1" applyNumberFormat="1">
      <alignment horizontal="right" vertical="bottom"/>
    </xf>
    <xf borderId="12" fillId="3" fontId="6" numFmtId="164" xfId="0" applyAlignment="1" applyBorder="1" applyFont="1" applyNumberFormat="1">
      <alignment horizontal="right" vertical="bottom"/>
    </xf>
    <xf borderId="10" fillId="3" fontId="6" numFmtId="167" xfId="0" applyAlignment="1" applyBorder="1" applyFont="1" applyNumberFormat="1">
      <alignment horizontal="right" vertical="bottom"/>
    </xf>
    <xf borderId="0" fillId="3" fontId="1" numFmtId="0" xfId="0" applyFont="1"/>
    <xf borderId="12" fillId="6" fontId="5" numFmtId="10" xfId="0" applyAlignment="1" applyBorder="1" applyFont="1" applyNumberFormat="1">
      <alignment horizontal="right" vertical="bottom"/>
    </xf>
    <xf borderId="6" fillId="6" fontId="5" numFmtId="10" xfId="0" applyAlignment="1" applyBorder="1" applyFont="1" applyNumberFormat="1">
      <alignment horizontal="right" vertical="bottom"/>
    </xf>
    <xf borderId="6" fillId="3" fontId="1" numFmtId="10" xfId="0" applyBorder="1" applyFont="1" applyNumberFormat="1"/>
    <xf borderId="0" fillId="0" fontId="3" numFmtId="0" xfId="0" applyAlignment="1" applyFont="1">
      <alignment readingOrder="0"/>
    </xf>
    <xf borderId="4" fillId="2" fontId="4" numFmtId="164" xfId="0" applyAlignment="1" applyBorder="1" applyFont="1" applyNumberFormat="1">
      <alignment vertical="bottom"/>
    </xf>
    <xf borderId="9" fillId="2" fontId="6" numFmtId="164" xfId="0" applyAlignment="1" applyBorder="1" applyFont="1" applyNumberFormat="1">
      <alignment vertical="bottom"/>
    </xf>
    <xf borderId="10" fillId="2" fontId="2" numFmtId="0" xfId="0" applyAlignment="1" applyBorder="1" applyFont="1">
      <alignment horizontal="right" readingOrder="0"/>
    </xf>
    <xf borderId="0" fillId="3" fontId="5" numFmtId="164" xfId="0" applyAlignment="1" applyFont="1" applyNumberFormat="1">
      <alignment horizontal="right" vertical="bottom"/>
    </xf>
    <xf borderId="10" fillId="3" fontId="5" numFmtId="164" xfId="0" applyAlignment="1" applyBorder="1" applyFont="1" applyNumberFormat="1">
      <alignment horizontal="right" vertical="bottom"/>
    </xf>
    <xf borderId="0" fillId="3" fontId="5" numFmtId="165" xfId="0" applyAlignment="1" applyFont="1" applyNumberFormat="1">
      <alignment horizontal="right" vertical="bottom"/>
    </xf>
    <xf borderId="10" fillId="3" fontId="5" numFmtId="165" xfId="0" applyAlignment="1" applyBorder="1" applyFont="1" applyNumberFormat="1">
      <alignment horizontal="right" vertical="bottom"/>
    </xf>
    <xf borderId="11" fillId="6" fontId="8" numFmtId="164" xfId="0" applyAlignment="1" applyBorder="1" applyFont="1" applyNumberFormat="1">
      <alignment horizontal="right" vertical="bottom"/>
    </xf>
    <xf borderId="12" fillId="3" fontId="8" numFmtId="164" xfId="0" applyAlignment="1" applyBorder="1" applyFont="1" applyNumberFormat="1">
      <alignment horizontal="right" vertical="bottom"/>
    </xf>
    <xf borderId="0" fillId="3" fontId="8" numFmtId="164" xfId="0" applyAlignment="1" applyFont="1" applyNumberFormat="1">
      <alignment horizontal="right" vertical="bottom"/>
    </xf>
    <xf borderId="11" fillId="3" fontId="8" numFmtId="164" xfId="0" applyAlignment="1" applyBorder="1" applyFont="1" applyNumberFormat="1">
      <alignment horizontal="right" vertical="bottom"/>
    </xf>
    <xf borderId="10" fillId="3" fontId="8" numFmtId="164" xfId="0" applyAlignment="1" applyBorder="1" applyFont="1" applyNumberFormat="1">
      <alignment horizontal="right" vertical="bottom"/>
    </xf>
    <xf borderId="12" fillId="6" fontId="8" numFmtId="164" xfId="0" applyAlignment="1" applyBorder="1" applyFont="1" applyNumberFormat="1">
      <alignment horizontal="right" vertical="bottom"/>
    </xf>
    <xf borderId="0" fillId="6" fontId="6" numFmtId="164" xfId="0" applyAlignment="1" applyFont="1" applyNumberFormat="1">
      <alignment horizontal="right" vertical="bottom"/>
    </xf>
    <xf borderId="11" fillId="6" fontId="6" numFmtId="164" xfId="0" applyAlignment="1" applyBorder="1" applyFont="1" applyNumberFormat="1">
      <alignment horizontal="right" vertical="bottom"/>
    </xf>
    <xf borderId="10" fillId="6" fontId="6" numFmtId="164" xfId="0" applyAlignment="1" applyBorder="1" applyFont="1" applyNumberFormat="1">
      <alignment horizontal="right" vertical="bottom"/>
    </xf>
    <xf borderId="5" fillId="3" fontId="8" numFmtId="164" xfId="0" applyAlignment="1" applyBorder="1" applyFont="1" applyNumberFormat="1">
      <alignment horizontal="right" vertical="bottom"/>
    </xf>
    <xf borderId="0" fillId="4" fontId="4" numFmtId="164" xfId="0" applyAlignment="1" applyFont="1" applyNumberFormat="1">
      <alignment horizontal="center" vertical="bottom"/>
    </xf>
    <xf borderId="0" fillId="4" fontId="4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 ht="82.5">
      <c r="B2" s="1" t="s">
        <v>0</v>
      </c>
      <c r="C2" s="2"/>
      <c r="D2" s="2"/>
      <c r="E2" s="2"/>
      <c r="F2" s="3"/>
      <c r="G2" s="4"/>
    </row>
    <row r="4">
      <c r="B4" s="5"/>
      <c r="C4" s="6">
        <v>1.0</v>
      </c>
      <c r="D4" s="7">
        <v>2.0</v>
      </c>
      <c r="E4" s="7">
        <v>3.0</v>
      </c>
      <c r="F4" s="8">
        <v>4.0</v>
      </c>
    </row>
    <row r="5">
      <c r="B5" s="9" t="s">
        <v>1</v>
      </c>
      <c r="C5" s="10" t="s">
        <v>2</v>
      </c>
      <c r="D5" s="10" t="s">
        <v>3</v>
      </c>
      <c r="E5" s="10" t="s">
        <v>4</v>
      </c>
      <c r="F5" s="11" t="s">
        <v>5</v>
      </c>
    </row>
    <row r="7">
      <c r="B7" s="12" t="s">
        <v>6</v>
      </c>
      <c r="C7" s="13" t="s">
        <v>7</v>
      </c>
      <c r="E7" s="14" t="s">
        <v>8</v>
      </c>
      <c r="F7" s="15">
        <v>1000.0</v>
      </c>
    </row>
    <row r="8">
      <c r="B8" s="16" t="str">
        <f>'Founding Round'!C5</f>
        <v>Lallan</v>
      </c>
      <c r="C8" s="17">
        <v>0.5</v>
      </c>
      <c r="E8" s="18" t="s">
        <v>9</v>
      </c>
      <c r="F8" s="19">
        <v>100.0</v>
      </c>
    </row>
    <row r="9">
      <c r="B9" s="16" t="str">
        <f>'Founding Round'!D5</f>
        <v>Chaggan guru</v>
      </c>
      <c r="C9" s="17">
        <v>0.35</v>
      </c>
    </row>
    <row r="10">
      <c r="B10" s="20" t="str">
        <f>'Founding Round'!E5</f>
        <v>Mia Mumman</v>
      </c>
      <c r="C10" s="21">
        <v>0.1</v>
      </c>
      <c r="D10" s="22"/>
    </row>
    <row r="11">
      <c r="B11" s="23" t="str">
        <f>'Founding Round'!F5</f>
        <v>Golu</v>
      </c>
      <c r="C11" s="24">
        <v>0.05</v>
      </c>
      <c r="D11" s="25"/>
    </row>
    <row r="13">
      <c r="B13" s="26" t="s">
        <v>10</v>
      </c>
      <c r="C13" s="27" t="s">
        <v>11</v>
      </c>
      <c r="D13" s="28"/>
      <c r="E13" s="26" t="s">
        <v>12</v>
      </c>
      <c r="F13" s="27" t="s">
        <v>13</v>
      </c>
    </row>
    <row r="14">
      <c r="B14" s="16" t="str">
        <f>'Founding Round'!C5</f>
        <v>Lallan</v>
      </c>
      <c r="C14" s="31">
        <f t="shared" ref="C14:C17" si="1">F$7*C8</f>
        <v>500</v>
      </c>
      <c r="D14" s="32"/>
      <c r="E14" s="16" t="str">
        <f>'Founding Round'!C5</f>
        <v>Lallan</v>
      </c>
      <c r="F14" s="31">
        <f t="shared" ref="F14:F17" si="2">F$8*C14</f>
        <v>50000</v>
      </c>
    </row>
    <row r="15">
      <c r="B15" s="16" t="str">
        <f>'Founding Round'!D5</f>
        <v>Chaggan guru</v>
      </c>
      <c r="C15" s="31">
        <f t="shared" si="1"/>
        <v>350</v>
      </c>
      <c r="D15" s="32"/>
      <c r="E15" s="16" t="str">
        <f>'Founding Round'!D5</f>
        <v>Chaggan guru</v>
      </c>
      <c r="F15" s="31">
        <f t="shared" si="2"/>
        <v>35000</v>
      </c>
    </row>
    <row r="16">
      <c r="B16" s="16" t="str">
        <f>'Founding Round'!E5</f>
        <v>Mia Mumman</v>
      </c>
      <c r="C16" s="31">
        <f t="shared" si="1"/>
        <v>100</v>
      </c>
      <c r="D16" s="32"/>
      <c r="E16" s="16" t="str">
        <f>'Founding Round'!E5</f>
        <v>Mia Mumman</v>
      </c>
      <c r="F16" s="31">
        <f t="shared" si="2"/>
        <v>10000</v>
      </c>
    </row>
    <row r="17">
      <c r="B17" s="16" t="str">
        <f>'Founding Round'!F5</f>
        <v>Golu</v>
      </c>
      <c r="C17" s="31">
        <f t="shared" si="1"/>
        <v>50</v>
      </c>
      <c r="D17" s="32"/>
      <c r="E17" s="16" t="str">
        <f>'Founding Round'!F5</f>
        <v>Golu</v>
      </c>
      <c r="F17" s="31">
        <f t="shared" si="2"/>
        <v>5000</v>
      </c>
    </row>
    <row r="18">
      <c r="B18" s="44" t="s">
        <v>23</v>
      </c>
      <c r="C18" s="46">
        <f>SUM(C14:C17)</f>
        <v>1000</v>
      </c>
      <c r="D18" s="32"/>
      <c r="E18" s="44" t="s">
        <v>25</v>
      </c>
      <c r="F18" s="46">
        <f>SUM(F14:F17)</f>
        <v>100000</v>
      </c>
    </row>
    <row r="19">
      <c r="B19" s="48"/>
      <c r="C19" s="50"/>
      <c r="D19" s="32"/>
    </row>
    <row r="20">
      <c r="B20" s="48"/>
      <c r="C20" s="32"/>
      <c r="D20" s="32"/>
    </row>
  </sheetData>
  <mergeCells count="1">
    <mergeCell ref="B2:F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 ht="82.5">
      <c r="B2" s="1" t="s">
        <v>14</v>
      </c>
      <c r="C2" s="2"/>
      <c r="D2" s="2"/>
      <c r="E2" s="2"/>
      <c r="F2" s="3"/>
      <c r="G2" s="4"/>
    </row>
    <row r="4">
      <c r="B4" s="5"/>
      <c r="C4" s="29">
        <v>1.0</v>
      </c>
      <c r="D4" s="29">
        <v>2.0</v>
      </c>
      <c r="E4" s="29">
        <v>3.0</v>
      </c>
      <c r="F4" s="30">
        <v>4.0</v>
      </c>
      <c r="G4" s="33"/>
      <c r="H4" s="34"/>
      <c r="I4" s="34"/>
    </row>
    <row r="5">
      <c r="B5" s="35" t="s">
        <v>15</v>
      </c>
      <c r="C5" s="36" t="s">
        <v>16</v>
      </c>
      <c r="D5" s="37" t="s">
        <v>17</v>
      </c>
      <c r="E5" s="37" t="s">
        <v>18</v>
      </c>
      <c r="F5" s="38" t="s">
        <v>19</v>
      </c>
      <c r="G5" s="39"/>
      <c r="H5" s="39"/>
      <c r="I5" s="39"/>
    </row>
    <row r="6">
      <c r="B6" s="40" t="s">
        <v>20</v>
      </c>
      <c r="C6" s="41" t="s">
        <v>21</v>
      </c>
      <c r="D6" s="10" t="s">
        <v>21</v>
      </c>
      <c r="E6" s="10" t="s">
        <v>21</v>
      </c>
      <c r="F6" s="11" t="s">
        <v>21</v>
      </c>
      <c r="I6" s="4"/>
    </row>
    <row r="7">
      <c r="I7" s="4"/>
    </row>
    <row r="8">
      <c r="B8" s="42" t="s">
        <v>22</v>
      </c>
      <c r="C8" s="43">
        <v>1.5E8</v>
      </c>
      <c r="D8" s="43">
        <v>1.5E8</v>
      </c>
      <c r="E8" s="43">
        <v>1.5E8</v>
      </c>
      <c r="F8" s="45">
        <v>1.5E8</v>
      </c>
      <c r="I8" s="4"/>
    </row>
    <row r="9">
      <c r="I9" s="4"/>
    </row>
    <row r="10">
      <c r="B10" s="47" t="s">
        <v>24</v>
      </c>
      <c r="C10" s="2"/>
      <c r="D10" s="2"/>
      <c r="E10" s="2"/>
      <c r="F10" s="3"/>
      <c r="G10" s="49"/>
    </row>
    <row r="11">
      <c r="B11" s="51"/>
      <c r="F11" s="52"/>
      <c r="G11" s="53"/>
    </row>
    <row r="12">
      <c r="B12" s="14" t="s">
        <v>26</v>
      </c>
      <c r="C12" s="54" t="str">
        <f t="shared" ref="C12:F12" si="1">C5</f>
        <v>Guddan</v>
      </c>
      <c r="D12" s="54" t="str">
        <f t="shared" si="1"/>
        <v>Laali</v>
      </c>
      <c r="E12" s="54" t="str">
        <f t="shared" si="1"/>
        <v>Puttan</v>
      </c>
      <c r="F12" s="13" t="str">
        <f t="shared" si="1"/>
        <v>Bankelal</v>
      </c>
      <c r="G12" s="55"/>
    </row>
    <row r="13">
      <c r="B13" s="16" t="s">
        <v>27</v>
      </c>
      <c r="C13" s="56">
        <v>100000.0</v>
      </c>
      <c r="D13" s="56">
        <v>100000.0</v>
      </c>
      <c r="E13" s="56">
        <v>100000.0</v>
      </c>
      <c r="F13" s="57">
        <v>100000.0</v>
      </c>
      <c r="G13" s="53"/>
    </row>
    <row r="14">
      <c r="B14" s="16" t="s">
        <v>28</v>
      </c>
      <c r="C14" s="58">
        <v>0.6</v>
      </c>
      <c r="D14" s="58">
        <v>0.6</v>
      </c>
      <c r="E14" s="58">
        <v>0.6</v>
      </c>
      <c r="F14" s="59">
        <v>0.6</v>
      </c>
      <c r="G14" s="60"/>
    </row>
    <row r="15">
      <c r="B15" s="44" t="s">
        <v>29</v>
      </c>
      <c r="C15" s="61">
        <f t="shared" ref="C15:F15" si="2">C13/(1-C14)</f>
        <v>250000</v>
      </c>
      <c r="D15" s="61">
        <f t="shared" si="2"/>
        <v>250000</v>
      </c>
      <c r="E15" s="61">
        <f t="shared" si="2"/>
        <v>250000</v>
      </c>
      <c r="F15" s="62">
        <f t="shared" si="2"/>
        <v>250000</v>
      </c>
      <c r="G15" s="60"/>
    </row>
    <row r="16">
      <c r="B16" s="63"/>
      <c r="C16" s="64"/>
      <c r="D16" s="64"/>
      <c r="E16" s="65"/>
      <c r="F16" s="66"/>
      <c r="G16" s="60"/>
    </row>
    <row r="17">
      <c r="B17" s="18" t="s">
        <v>30</v>
      </c>
      <c r="C17" s="61">
        <f t="shared" ref="C17:F17" si="3">C15</f>
        <v>250000</v>
      </c>
      <c r="D17" s="61">
        <f t="shared" si="3"/>
        <v>250000</v>
      </c>
      <c r="E17" s="61">
        <f t="shared" si="3"/>
        <v>250000</v>
      </c>
      <c r="F17" s="62">
        <f t="shared" si="3"/>
        <v>250000</v>
      </c>
      <c r="G17" s="67">
        <f>SUM(C17:F17)</f>
        <v>1000000</v>
      </c>
    </row>
    <row r="18">
      <c r="B18" s="60"/>
      <c r="C18" s="60"/>
      <c r="D18" s="60"/>
      <c r="E18" s="60"/>
      <c r="F18" s="60"/>
      <c r="G18" s="60"/>
    </row>
    <row r="19">
      <c r="B19" s="47" t="s">
        <v>31</v>
      </c>
      <c r="C19" s="2"/>
      <c r="D19" s="2"/>
      <c r="E19" s="2"/>
      <c r="F19" s="3"/>
    </row>
    <row r="20">
      <c r="B20" s="51"/>
      <c r="F20" s="52"/>
    </row>
    <row r="21">
      <c r="B21" s="14" t="s">
        <v>26</v>
      </c>
      <c r="C21" s="54" t="str">
        <f t="shared" ref="C21:F21" si="4">C5</f>
        <v>Guddan</v>
      </c>
      <c r="D21" s="54" t="str">
        <f t="shared" si="4"/>
        <v>Laali</v>
      </c>
      <c r="E21" s="54" t="str">
        <f t="shared" si="4"/>
        <v>Puttan</v>
      </c>
      <c r="F21" s="13" t="str">
        <f t="shared" si="4"/>
        <v>Bankelal</v>
      </c>
      <c r="G21" s="60"/>
    </row>
    <row r="22">
      <c r="B22" s="16" t="s">
        <v>27</v>
      </c>
      <c r="C22" s="56">
        <v>100000.0</v>
      </c>
      <c r="D22" s="56">
        <v>100000.0</v>
      </c>
      <c r="E22" s="56">
        <v>100000.0</v>
      </c>
      <c r="F22" s="57">
        <v>100000.0</v>
      </c>
      <c r="G22" s="60"/>
    </row>
    <row r="23">
      <c r="B23" s="68" t="s">
        <v>32</v>
      </c>
      <c r="C23" s="69">
        <v>0.3</v>
      </c>
      <c r="D23" s="69">
        <v>0.3</v>
      </c>
      <c r="E23" s="69">
        <v>0.3</v>
      </c>
      <c r="F23" s="17">
        <v>0.3</v>
      </c>
      <c r="G23" s="70" t="s">
        <v>33</v>
      </c>
    </row>
    <row r="24">
      <c r="B24" s="68" t="s">
        <v>34</v>
      </c>
      <c r="C24" s="71">
        <v>5.0</v>
      </c>
      <c r="D24" s="71">
        <v>5.0</v>
      </c>
      <c r="E24" s="71">
        <v>5.0</v>
      </c>
      <c r="F24" s="72">
        <v>5.0</v>
      </c>
      <c r="G24" s="60"/>
    </row>
    <row r="25">
      <c r="B25" s="18" t="s">
        <v>35</v>
      </c>
      <c r="C25" s="61">
        <f t="shared" ref="C25:F25" si="5">C22*(1+C23*C24)</f>
        <v>250000</v>
      </c>
      <c r="D25" s="61">
        <f t="shared" si="5"/>
        <v>250000</v>
      </c>
      <c r="E25" s="61">
        <f t="shared" si="5"/>
        <v>250000</v>
      </c>
      <c r="F25" s="62">
        <f t="shared" si="5"/>
        <v>250000</v>
      </c>
      <c r="G25" s="60"/>
    </row>
    <row r="26">
      <c r="B26" s="63"/>
      <c r="C26" s="64"/>
      <c r="D26" s="64"/>
      <c r="E26" s="65"/>
      <c r="F26" s="66"/>
      <c r="G26" s="60"/>
    </row>
    <row r="27">
      <c r="B27" s="18" t="s">
        <v>30</v>
      </c>
      <c r="C27" s="61">
        <f t="shared" ref="C27:F27" si="6">C25</f>
        <v>250000</v>
      </c>
      <c r="D27" s="61">
        <f t="shared" si="6"/>
        <v>250000</v>
      </c>
      <c r="E27" s="61">
        <f t="shared" si="6"/>
        <v>250000</v>
      </c>
      <c r="F27" s="62">
        <f t="shared" si="6"/>
        <v>250000</v>
      </c>
      <c r="G27" s="67">
        <f>SUM(C27:F27)</f>
        <v>1000000</v>
      </c>
    </row>
    <row r="28">
      <c r="G28" s="60"/>
    </row>
    <row r="29">
      <c r="G29" s="60"/>
    </row>
    <row r="30">
      <c r="G30" s="60"/>
    </row>
    <row r="31">
      <c r="G31" s="60"/>
    </row>
    <row r="32">
      <c r="G32" s="60"/>
    </row>
    <row r="33">
      <c r="G33" s="60"/>
    </row>
    <row r="34">
      <c r="G34" s="60"/>
    </row>
    <row r="35">
      <c r="G35" s="60"/>
    </row>
    <row r="36">
      <c r="G36" s="60"/>
    </row>
    <row r="37">
      <c r="G37" s="60"/>
    </row>
    <row r="38">
      <c r="G38" s="60"/>
    </row>
    <row r="39">
      <c r="G39" s="60"/>
    </row>
    <row r="40">
      <c r="G40" s="60"/>
    </row>
    <row r="41">
      <c r="G41" s="60"/>
    </row>
    <row r="42">
      <c r="G42" s="60"/>
    </row>
    <row r="43">
      <c r="G43" s="60"/>
    </row>
    <row r="44">
      <c r="G44" s="60"/>
    </row>
    <row r="45">
      <c r="G45" s="60"/>
    </row>
    <row r="46">
      <c r="G46" s="60"/>
    </row>
    <row r="47">
      <c r="G47" s="60"/>
    </row>
    <row r="48">
      <c r="G48" s="60"/>
    </row>
    <row r="49">
      <c r="G49" s="60"/>
    </row>
    <row r="50">
      <c r="G50" s="60"/>
    </row>
    <row r="51">
      <c r="G51" s="60"/>
      <c r="H51" s="60"/>
      <c r="I51" s="60"/>
      <c r="J51" s="60"/>
      <c r="K51" s="60"/>
      <c r="L51" s="60"/>
    </row>
    <row r="52">
      <c r="G52" s="60"/>
      <c r="H52" s="60"/>
      <c r="I52" s="60"/>
      <c r="J52" s="60"/>
      <c r="K52" s="60"/>
      <c r="L52" s="60"/>
    </row>
    <row r="53">
      <c r="G53" s="60"/>
      <c r="H53" s="60"/>
      <c r="I53" s="60"/>
      <c r="J53" s="60"/>
      <c r="K53" s="60"/>
      <c r="L53" s="60"/>
    </row>
    <row r="54">
      <c r="G54" s="60"/>
      <c r="H54" s="60"/>
      <c r="I54" s="60"/>
      <c r="J54" s="60"/>
      <c r="K54" s="60"/>
      <c r="L54" s="60"/>
    </row>
    <row r="55">
      <c r="G55" s="60"/>
      <c r="H55" s="60"/>
      <c r="I55" s="60"/>
      <c r="J55" s="60"/>
      <c r="K55" s="60"/>
      <c r="L55" s="60"/>
    </row>
    <row r="56">
      <c r="G56" s="60"/>
      <c r="H56" s="60"/>
      <c r="I56" s="60"/>
      <c r="J56" s="60"/>
      <c r="K56" s="60"/>
      <c r="L56" s="60"/>
    </row>
    <row r="57">
      <c r="G57" s="60"/>
      <c r="H57" s="60"/>
      <c r="I57" s="60"/>
      <c r="J57" s="60"/>
      <c r="K57" s="60"/>
      <c r="L57" s="60"/>
    </row>
    <row r="58">
      <c r="G58" s="60"/>
      <c r="H58" s="60"/>
      <c r="I58" s="60"/>
      <c r="J58" s="60"/>
      <c r="K58" s="60"/>
      <c r="L58" s="60"/>
    </row>
    <row r="59">
      <c r="G59" s="60"/>
      <c r="H59" s="60"/>
      <c r="I59" s="60"/>
      <c r="J59" s="60"/>
      <c r="K59" s="60"/>
      <c r="L59" s="60"/>
    </row>
    <row r="60"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</row>
    <row r="61">
      <c r="J61" s="60"/>
      <c r="K61" s="60"/>
      <c r="L61" s="60"/>
    </row>
    <row r="62">
      <c r="J62" s="60"/>
      <c r="K62" s="60"/>
      <c r="L62" s="60"/>
    </row>
    <row r="63">
      <c r="J63" s="60"/>
      <c r="K63" s="60"/>
      <c r="L63" s="60"/>
    </row>
    <row r="64">
      <c r="J64" s="60"/>
      <c r="K64" s="60"/>
      <c r="L64" s="60"/>
    </row>
    <row r="65">
      <c r="J65" s="60"/>
      <c r="K65" s="60"/>
      <c r="L65" s="60"/>
    </row>
    <row r="66">
      <c r="J66" s="60"/>
      <c r="K66" s="60"/>
      <c r="L66" s="60"/>
    </row>
    <row r="67">
      <c r="J67" s="60"/>
      <c r="K67" s="60"/>
      <c r="L67" s="60"/>
    </row>
    <row r="68">
      <c r="J68" s="60"/>
      <c r="K68" s="60"/>
      <c r="L68" s="60"/>
    </row>
    <row r="69">
      <c r="J69" s="60"/>
      <c r="K69" s="60"/>
      <c r="L69" s="60"/>
    </row>
    <row r="70">
      <c r="J70" s="60"/>
      <c r="K70" s="60"/>
      <c r="L70" s="60"/>
    </row>
    <row r="71">
      <c r="J71" s="60"/>
      <c r="K71" s="60"/>
      <c r="L71" s="60"/>
    </row>
    <row r="72">
      <c r="J72" s="60"/>
      <c r="K72" s="60"/>
      <c r="L72" s="60"/>
    </row>
    <row r="73">
      <c r="J73" s="60"/>
      <c r="K73" s="60"/>
      <c r="L73" s="60"/>
    </row>
    <row r="74">
      <c r="J74" s="60"/>
      <c r="K74" s="60"/>
      <c r="L74" s="60"/>
    </row>
    <row r="75">
      <c r="J75" s="60"/>
      <c r="K75" s="60"/>
      <c r="L75" s="60"/>
    </row>
    <row r="76">
      <c r="J76" s="60"/>
      <c r="K76" s="60"/>
      <c r="L76" s="60"/>
    </row>
    <row r="77">
      <c r="J77" s="60"/>
      <c r="K77" s="60"/>
      <c r="L77" s="60"/>
    </row>
    <row r="78">
      <c r="J78" s="60"/>
      <c r="K78" s="60"/>
      <c r="L78" s="60"/>
    </row>
    <row r="79">
      <c r="J79" s="60"/>
      <c r="K79" s="60"/>
      <c r="L79" s="60"/>
    </row>
    <row r="80">
      <c r="J80" s="60"/>
      <c r="K80" s="60"/>
      <c r="L80" s="60"/>
    </row>
    <row r="81">
      <c r="J81" s="60"/>
      <c r="K81" s="60"/>
      <c r="L81" s="60"/>
    </row>
    <row r="82">
      <c r="J82" s="60"/>
      <c r="K82" s="60"/>
      <c r="L82" s="60"/>
    </row>
    <row r="83">
      <c r="J83" s="60"/>
      <c r="K83" s="60"/>
      <c r="L83" s="60"/>
    </row>
    <row r="84">
      <c r="J84" s="60"/>
      <c r="K84" s="60"/>
      <c r="L84" s="60"/>
    </row>
    <row r="85">
      <c r="J85" s="60"/>
      <c r="K85" s="60"/>
      <c r="L85" s="60"/>
    </row>
    <row r="86">
      <c r="J86" s="60"/>
      <c r="K86" s="60"/>
      <c r="L86" s="60"/>
    </row>
    <row r="87">
      <c r="J87" s="60"/>
      <c r="K87" s="60"/>
      <c r="L87" s="60"/>
    </row>
    <row r="88">
      <c r="J88" s="60"/>
      <c r="K88" s="60"/>
      <c r="L88" s="60"/>
    </row>
    <row r="89">
      <c r="J89" s="60"/>
      <c r="K89" s="60"/>
      <c r="L89" s="60"/>
    </row>
    <row r="90">
      <c r="J90" s="60"/>
      <c r="K90" s="60"/>
      <c r="L90" s="60"/>
    </row>
    <row r="91">
      <c r="J91" s="60"/>
      <c r="K91" s="60"/>
      <c r="L91" s="60"/>
    </row>
    <row r="92">
      <c r="J92" s="60"/>
      <c r="K92" s="60"/>
      <c r="L92" s="60"/>
    </row>
    <row r="93">
      <c r="J93" s="60"/>
      <c r="K93" s="60"/>
      <c r="L93" s="60"/>
    </row>
  </sheetData>
  <mergeCells count="3">
    <mergeCell ref="B10:F10"/>
    <mergeCell ref="B19:F19"/>
    <mergeCell ref="B2:F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 ht="82.5">
      <c r="B2" s="1" t="s">
        <v>36</v>
      </c>
      <c r="C2" s="2"/>
      <c r="D2" s="2"/>
      <c r="E2" s="2"/>
      <c r="F2" s="3"/>
      <c r="G2" s="4"/>
    </row>
    <row r="4">
      <c r="B4" s="5"/>
      <c r="C4" s="73" t="s">
        <v>37</v>
      </c>
    </row>
    <row r="5">
      <c r="B5" s="9" t="s">
        <v>15</v>
      </c>
      <c r="C5" s="74" t="s">
        <v>38</v>
      </c>
      <c r="E5" s="75"/>
      <c r="F5" s="75"/>
    </row>
    <row r="6">
      <c r="E6" s="76"/>
      <c r="F6" s="77"/>
    </row>
    <row r="7">
      <c r="B7" s="14" t="s">
        <v>39</v>
      </c>
      <c r="C7" s="78">
        <v>1.35E8</v>
      </c>
      <c r="D7" s="60"/>
      <c r="E7" s="42" t="s">
        <v>40</v>
      </c>
      <c r="F7" s="79">
        <v>0.1</v>
      </c>
    </row>
    <row r="8">
      <c r="B8" s="16" t="s">
        <v>27</v>
      </c>
      <c r="C8" s="57">
        <v>1.5E7</v>
      </c>
      <c r="D8" s="60"/>
      <c r="E8" s="48"/>
      <c r="F8" s="80"/>
    </row>
    <row r="9">
      <c r="B9" s="16" t="s">
        <v>41</v>
      </c>
      <c r="C9" s="81">
        <f>SUM(C7:C8)</f>
        <v>150000000</v>
      </c>
      <c r="D9" s="60"/>
      <c r="E9" s="48"/>
      <c r="F9" s="82"/>
    </row>
    <row r="10">
      <c r="B10" s="16" t="str">
        <f>'First Equity Round'!C$5</f>
        <v>Bawandar Mix</v>
      </c>
      <c r="C10" s="83">
        <f>C8/C9</f>
        <v>0.1</v>
      </c>
      <c r="D10" s="60"/>
      <c r="E10" s="48"/>
      <c r="F10" s="82"/>
    </row>
    <row r="11">
      <c r="B11" s="65"/>
      <c r="C11" s="65"/>
      <c r="D11" s="60"/>
      <c r="E11" s="60"/>
      <c r="F11" s="60"/>
    </row>
    <row r="12">
      <c r="B12" s="68" t="s">
        <v>6</v>
      </c>
      <c r="C12" s="84" t="s">
        <v>7</v>
      </c>
      <c r="D12" s="13" t="s">
        <v>42</v>
      </c>
      <c r="E12" s="50"/>
      <c r="F12" s="60"/>
    </row>
    <row r="13">
      <c r="B13" s="16" t="str">
        <f>'Founding Round'!C$5</f>
        <v>Lallan</v>
      </c>
      <c r="C13" s="85">
        <f>'Founding Round'!C8</f>
        <v>0.5</v>
      </c>
      <c r="D13" s="86">
        <f t="shared" ref="D13:D16" si="1">C13*(1-D$17)</f>
        <v>0.45</v>
      </c>
      <c r="E13" s="87"/>
      <c r="F13" s="60"/>
    </row>
    <row r="14">
      <c r="B14" s="16" t="str">
        <f>'Founding Round'!D$5</f>
        <v>Chaggan guru</v>
      </c>
      <c r="C14" s="85">
        <f>'Founding Round'!C9</f>
        <v>0.35</v>
      </c>
      <c r="D14" s="86">
        <f t="shared" si="1"/>
        <v>0.315</v>
      </c>
      <c r="E14" s="87"/>
      <c r="F14" s="60"/>
    </row>
    <row r="15">
      <c r="B15" s="16" t="str">
        <f>'Founding Round'!E$5</f>
        <v>Mia Mumman</v>
      </c>
      <c r="C15" s="88">
        <f>'Founding Round'!C10</f>
        <v>0.1</v>
      </c>
      <c r="D15" s="86">
        <f t="shared" si="1"/>
        <v>0.09</v>
      </c>
      <c r="E15" s="87"/>
      <c r="F15" s="60"/>
    </row>
    <row r="16">
      <c r="B16" s="16" t="str">
        <f>'Founding Round'!F$5</f>
        <v>Golu</v>
      </c>
      <c r="C16" s="89">
        <f>'Founding Round'!C11</f>
        <v>0.05</v>
      </c>
      <c r="D16" s="86">
        <f t="shared" si="1"/>
        <v>0.045</v>
      </c>
      <c r="E16" s="87"/>
      <c r="F16" s="60"/>
    </row>
    <row r="17">
      <c r="B17" s="16" t="str">
        <f>'First Equity Round'!C$5</f>
        <v>Bawandar Mix</v>
      </c>
      <c r="C17" s="90"/>
      <c r="D17" s="91">
        <f>C10</f>
        <v>0.1</v>
      </c>
      <c r="E17" s="87"/>
      <c r="F17" s="60"/>
    </row>
    <row r="18">
      <c r="B18" s="92"/>
      <c r="C18" s="93">
        <f>SUM(C13:C16)</f>
        <v>1</v>
      </c>
      <c r="D18" s="94">
        <f>SUM(D13:D17)</f>
        <v>1</v>
      </c>
      <c r="E18" s="87"/>
      <c r="F18" s="60"/>
    </row>
    <row r="19">
      <c r="B19" s="95"/>
      <c r="C19" s="95"/>
      <c r="D19" s="95"/>
      <c r="E19" s="87"/>
      <c r="F19" s="60"/>
    </row>
    <row r="20">
      <c r="B20" s="96" t="s">
        <v>43</v>
      </c>
      <c r="C20" s="97" t="s">
        <v>7</v>
      </c>
      <c r="D20" s="98" t="s">
        <v>42</v>
      </c>
      <c r="E20" s="60"/>
      <c r="F20" s="60"/>
    </row>
    <row r="21">
      <c r="B21" s="99"/>
      <c r="C21" s="100">
        <f>'Founding Round'!F7*'Founding Round'!F8</f>
        <v>100000</v>
      </c>
      <c r="D21" s="101">
        <f>C9</f>
        <v>150000000</v>
      </c>
      <c r="E21" s="60"/>
      <c r="F21" s="60"/>
    </row>
    <row r="22">
      <c r="B22" s="16" t="str">
        <f>'Founding Round'!C$5</f>
        <v>Lallan</v>
      </c>
      <c r="C22" s="102">
        <f>'Founding Round'!C8*'Founding Round'!F$7</f>
        <v>500</v>
      </c>
      <c r="D22" s="101">
        <f t="shared" ref="D22:D25" si="2">C22</f>
        <v>500</v>
      </c>
      <c r="E22" s="67"/>
      <c r="F22" s="60"/>
    </row>
    <row r="23">
      <c r="B23" s="16" t="str">
        <f>'Founding Round'!D$5</f>
        <v>Chaggan guru</v>
      </c>
      <c r="C23" s="102">
        <f>'Founding Round'!C9*'Founding Round'!F$7</f>
        <v>350</v>
      </c>
      <c r="D23" s="101">
        <f t="shared" si="2"/>
        <v>350</v>
      </c>
      <c r="E23" s="67"/>
      <c r="F23" s="60"/>
    </row>
    <row r="24">
      <c r="B24" s="16" t="str">
        <f>'Founding Round'!E$5</f>
        <v>Mia Mumman</v>
      </c>
      <c r="C24" s="102">
        <f>'Founding Round'!C10*'Founding Round'!F$7</f>
        <v>100</v>
      </c>
      <c r="D24" s="101">
        <f t="shared" si="2"/>
        <v>100</v>
      </c>
      <c r="E24" s="67"/>
      <c r="F24" s="60"/>
    </row>
    <row r="25">
      <c r="B25" s="16" t="str">
        <f>'Founding Round'!F$5</f>
        <v>Golu</v>
      </c>
      <c r="C25" s="102">
        <f>'Founding Round'!C11*'Founding Round'!F$7</f>
        <v>50</v>
      </c>
      <c r="D25" s="101">
        <f t="shared" si="2"/>
        <v>50</v>
      </c>
      <c r="E25" s="67"/>
      <c r="F25" s="60"/>
    </row>
    <row r="26">
      <c r="B26" s="16" t="str">
        <f>'First Equity Round'!C$5</f>
        <v>Bawandar Mix</v>
      </c>
      <c r="C26" s="103"/>
      <c r="D26" s="101">
        <f>C$26/(1-D$17)*D17</f>
        <v>0</v>
      </c>
      <c r="E26" s="67"/>
      <c r="F26" s="60"/>
    </row>
    <row r="27">
      <c r="B27" s="16"/>
      <c r="C27" s="104">
        <f>SUM(C22:C25)</f>
        <v>1000</v>
      </c>
      <c r="D27" s="105">
        <f>SUM(D22:D26)</f>
        <v>1000</v>
      </c>
      <c r="E27" s="67"/>
      <c r="F27" s="60"/>
    </row>
    <row r="28">
      <c r="B28" s="18" t="s">
        <v>44</v>
      </c>
      <c r="C28" s="61">
        <f t="shared" ref="C28:D28" si="3">C21/C27</f>
        <v>100</v>
      </c>
      <c r="D28" s="62">
        <f t="shared" si="3"/>
        <v>150000</v>
      </c>
      <c r="E28" s="60"/>
      <c r="F28" s="60"/>
    </row>
    <row r="29">
      <c r="B29" s="65"/>
      <c r="C29" s="65"/>
      <c r="D29" s="65"/>
      <c r="E29" s="65"/>
      <c r="F29" s="60"/>
    </row>
    <row r="30">
      <c r="B30" s="16" t="s">
        <v>6</v>
      </c>
      <c r="C30" s="84" t="s">
        <v>45</v>
      </c>
      <c r="D30" s="84" t="s">
        <v>40</v>
      </c>
      <c r="E30" s="106" t="s">
        <v>46</v>
      </c>
      <c r="F30" s="60"/>
    </row>
    <row r="31">
      <c r="B31" s="16" t="str">
        <f>'Founding Round'!C$5</f>
        <v>Lallan</v>
      </c>
      <c r="C31" s="107">
        <f>'Founding Round'!C8</f>
        <v>0.5</v>
      </c>
      <c r="D31" s="108">
        <f t="shared" ref="D31:D34" si="4">C31*(1-D$35)</f>
        <v>0.45</v>
      </c>
      <c r="E31" s="86">
        <f t="shared" ref="E31:E34" si="5">D31*(1-(E$36/(1-E$35)))</f>
        <v>0.4</v>
      </c>
      <c r="F31" s="60"/>
    </row>
    <row r="32">
      <c r="B32" s="16" t="str">
        <f>'Founding Round'!D$5</f>
        <v>Chaggan guru</v>
      </c>
      <c r="C32" s="107">
        <f>'Founding Round'!C9</f>
        <v>0.35</v>
      </c>
      <c r="D32" s="108">
        <f t="shared" si="4"/>
        <v>0.315</v>
      </c>
      <c r="E32" s="86">
        <f t="shared" si="5"/>
        <v>0.28</v>
      </c>
      <c r="F32" s="60"/>
    </row>
    <row r="33">
      <c r="B33" s="16" t="str">
        <f>'Founding Round'!E$5</f>
        <v>Mia Mumman</v>
      </c>
      <c r="C33" s="109">
        <f>'Founding Round'!C10</f>
        <v>0.1</v>
      </c>
      <c r="D33" s="108">
        <f t="shared" si="4"/>
        <v>0.09</v>
      </c>
      <c r="E33" s="86">
        <f t="shared" si="5"/>
        <v>0.08</v>
      </c>
      <c r="F33" s="60"/>
    </row>
    <row r="34">
      <c r="B34" s="16" t="str">
        <f>'Founding Round'!F$5</f>
        <v>Golu</v>
      </c>
      <c r="C34" s="110">
        <f>'Founding Round'!C11</f>
        <v>0.05</v>
      </c>
      <c r="D34" s="108">
        <f t="shared" si="4"/>
        <v>0.045</v>
      </c>
      <c r="E34" s="86">
        <f t="shared" si="5"/>
        <v>0.04</v>
      </c>
      <c r="F34" s="60"/>
    </row>
    <row r="35">
      <c r="B35" s="16" t="s">
        <v>40</v>
      </c>
      <c r="C35" s="86"/>
      <c r="D35" s="111">
        <f>F7</f>
        <v>0.1</v>
      </c>
      <c r="E35" s="112">
        <f>D35</f>
        <v>0.1</v>
      </c>
      <c r="F35" s="60"/>
    </row>
    <row r="36">
      <c r="B36" s="16" t="str">
        <f>'First Equity Round'!C$5</f>
        <v>Bawandar Mix</v>
      </c>
      <c r="C36" s="113"/>
      <c r="D36" s="86"/>
      <c r="E36" s="91">
        <f>C10</f>
        <v>0.1</v>
      </c>
      <c r="F36" s="60"/>
    </row>
    <row r="37">
      <c r="B37" s="92"/>
      <c r="C37" s="114">
        <f>SUM(C31:C34)</f>
        <v>1</v>
      </c>
      <c r="D37" s="114">
        <f>SUM(D31:D35)</f>
        <v>1</v>
      </c>
      <c r="E37" s="94">
        <f>SUM(E31:E36)</f>
        <v>1</v>
      </c>
      <c r="F37" s="60"/>
    </row>
    <row r="38">
      <c r="B38" s="50"/>
      <c r="C38" s="115"/>
      <c r="D38" s="80"/>
      <c r="E38" s="80"/>
      <c r="F38" s="60"/>
    </row>
    <row r="39">
      <c r="B39" s="95"/>
      <c r="C39" s="116">
        <v>1.0</v>
      </c>
      <c r="D39" s="117"/>
      <c r="E39" s="117"/>
      <c r="F39" s="60"/>
    </row>
    <row r="40">
      <c r="B40" s="118" t="s">
        <v>43</v>
      </c>
      <c r="C40" s="119" t="s">
        <v>45</v>
      </c>
      <c r="D40" s="119" t="s">
        <v>40</v>
      </c>
      <c r="E40" s="98" t="s">
        <v>46</v>
      </c>
      <c r="F40" s="60"/>
    </row>
    <row r="41">
      <c r="B41" s="99"/>
      <c r="C41" s="120">
        <f>C7</f>
        <v>135000000</v>
      </c>
      <c r="D41" s="120">
        <f>C7</f>
        <v>135000000</v>
      </c>
      <c r="E41" s="81">
        <f>C9</f>
        <v>150000000</v>
      </c>
      <c r="F41" s="60"/>
    </row>
    <row r="42">
      <c r="B42" s="16" t="str">
        <f>'Founding Round'!C$5</f>
        <v>Lallan</v>
      </c>
      <c r="C42" s="120">
        <f>'Founding Round'!C8*'Founding Round'!F$7*$C$39</f>
        <v>500</v>
      </c>
      <c r="D42" s="120">
        <f t="shared" ref="D42:E42" si="6">C42</f>
        <v>500</v>
      </c>
      <c r="E42" s="81">
        <f t="shared" si="6"/>
        <v>500</v>
      </c>
      <c r="F42" s="67"/>
    </row>
    <row r="43">
      <c r="B43" s="16" t="str">
        <f>'Founding Round'!D$5</f>
        <v>Chaggan guru</v>
      </c>
      <c r="C43" s="120">
        <f>'Founding Round'!C9*'Founding Round'!F$7*$C$39</f>
        <v>350</v>
      </c>
      <c r="D43" s="120">
        <f t="shared" ref="D43:E43" si="7">C43</f>
        <v>350</v>
      </c>
      <c r="E43" s="81">
        <f t="shared" si="7"/>
        <v>350</v>
      </c>
      <c r="F43" s="67"/>
    </row>
    <row r="44">
      <c r="B44" s="16" t="str">
        <f>'Founding Round'!E$5</f>
        <v>Mia Mumman</v>
      </c>
      <c r="C44" s="120">
        <f>'Founding Round'!C10*'Founding Round'!F$7*$C$39</f>
        <v>100</v>
      </c>
      <c r="D44" s="120">
        <f t="shared" ref="D44:E44" si="8">C44</f>
        <v>100</v>
      </c>
      <c r="E44" s="81">
        <f t="shared" si="8"/>
        <v>100</v>
      </c>
      <c r="F44" s="67"/>
    </row>
    <row r="45">
      <c r="B45" s="16" t="str">
        <f>'Founding Round'!F$5</f>
        <v>Golu</v>
      </c>
      <c r="C45" s="120">
        <f>'Founding Round'!C11*'Founding Round'!F$7*$C$39</f>
        <v>50</v>
      </c>
      <c r="D45" s="120">
        <f t="shared" ref="D45:E45" si="9">C45</f>
        <v>50</v>
      </c>
      <c r="E45" s="81">
        <f t="shared" si="9"/>
        <v>50</v>
      </c>
      <c r="F45" s="67"/>
    </row>
    <row r="46">
      <c r="B46" s="20" t="s">
        <v>47</v>
      </c>
      <c r="C46" s="121"/>
      <c r="D46" s="122">
        <f>C48/(1-F7)*F7</f>
        <v>111.1111111</v>
      </c>
      <c r="E46" s="123">
        <f>D46</f>
        <v>111.1111111</v>
      </c>
      <c r="F46" s="67"/>
    </row>
    <row r="47">
      <c r="B47" s="16" t="str">
        <f>'First Equity Round'!C$5</f>
        <v>Bawandar Mix</v>
      </c>
      <c r="C47" s="104"/>
      <c r="D47" s="124"/>
      <c r="E47" s="81">
        <f>D48/(1-C10)*C10</f>
        <v>123.4567901</v>
      </c>
      <c r="F47" s="67"/>
    </row>
    <row r="48">
      <c r="B48" s="68" t="s">
        <v>23</v>
      </c>
      <c r="C48" s="104">
        <f>SUM(C42:C45)</f>
        <v>1000</v>
      </c>
      <c r="D48" s="104">
        <f>SUM(D42:D46)</f>
        <v>1111.111111</v>
      </c>
      <c r="E48" s="124">
        <f>SUM(E42:E47)</f>
        <v>1234.567901</v>
      </c>
      <c r="F48" s="60"/>
    </row>
    <row r="49">
      <c r="B49" s="18" t="s">
        <v>44</v>
      </c>
      <c r="C49" s="125">
        <f t="shared" ref="C49:E49" si="10">C41/C48</f>
        <v>135000</v>
      </c>
      <c r="D49" s="125">
        <f t="shared" si="10"/>
        <v>121500</v>
      </c>
      <c r="E49" s="126">
        <f t="shared" si="10"/>
        <v>121500</v>
      </c>
      <c r="F49" s="60"/>
    </row>
    <row r="50">
      <c r="B50" s="60"/>
      <c r="C50" s="60"/>
      <c r="D50" s="60"/>
      <c r="E50" s="60"/>
      <c r="F50" s="60"/>
    </row>
    <row r="51">
      <c r="B51" s="14" t="s">
        <v>26</v>
      </c>
      <c r="C51" s="54" t="str">
        <f>'Debt Round'!C5</f>
        <v>Guddan</v>
      </c>
      <c r="D51" s="54" t="str">
        <f>'Debt Round'!D5</f>
        <v>Laali</v>
      </c>
      <c r="E51" s="54" t="str">
        <f>'Debt Round'!E5</f>
        <v>Puttan</v>
      </c>
      <c r="F51" s="13" t="str">
        <f>'Debt Round'!F5</f>
        <v>Bankelal</v>
      </c>
    </row>
    <row r="52">
      <c r="B52" s="68" t="s">
        <v>48</v>
      </c>
      <c r="C52" s="102">
        <f>('Debt Round'!C8/$D48)</f>
        <v>135000</v>
      </c>
      <c r="D52" s="102">
        <f>('Debt Round'!D8/$D48)</f>
        <v>135000</v>
      </c>
      <c r="E52" s="102">
        <f>('Debt Round'!E8/$D48)</f>
        <v>135000</v>
      </c>
      <c r="F52" s="101">
        <f>('Debt Round'!F8/$D48)</f>
        <v>135000</v>
      </c>
    </row>
    <row r="53">
      <c r="B53" s="68" t="s">
        <v>29</v>
      </c>
      <c r="C53" s="102">
        <f>IF('Debt Round'!C6="DISCOUNT",'Debt Round'!C17,'Debt Round'!C27)</f>
        <v>250000</v>
      </c>
      <c r="D53" s="102">
        <f>IF('Debt Round'!D6="DISCOUNT",'Debt Round'!D17,'Debt Round'!D27)</f>
        <v>250000</v>
      </c>
      <c r="E53" s="102">
        <f>IF('Debt Round'!E6="DISCOUNT",'Debt Round'!E17,'Debt Round'!E27)</f>
        <v>250000</v>
      </c>
      <c r="F53" s="101">
        <f>IF('Debt Round'!F6="DISCOUNT",'Debt Round'!F17,'Debt Round'!F27)</f>
        <v>250000</v>
      </c>
    </row>
    <row r="54">
      <c r="B54" s="68" t="s">
        <v>49</v>
      </c>
      <c r="C54" s="127">
        <v>0.0</v>
      </c>
      <c r="D54" s="127">
        <v>0.0</v>
      </c>
      <c r="E54" s="127">
        <v>0.0</v>
      </c>
      <c r="F54" s="128">
        <v>0.0</v>
      </c>
    </row>
    <row r="55">
      <c r="B55" s="68" t="s">
        <v>50</v>
      </c>
      <c r="C55" s="129">
        <f t="shared" ref="C55:F55" si="11">C53-C54</f>
        <v>250000</v>
      </c>
      <c r="D55" s="129">
        <f t="shared" si="11"/>
        <v>250000</v>
      </c>
      <c r="E55" s="129">
        <f t="shared" si="11"/>
        <v>250000</v>
      </c>
      <c r="F55" s="130">
        <f t="shared" si="11"/>
        <v>250000</v>
      </c>
    </row>
    <row r="56">
      <c r="B56" s="18" t="s">
        <v>11</v>
      </c>
      <c r="C56" s="131">
        <f t="shared" ref="C56:F56" si="12">IF(C52&gt;$D49,C55/$D49,C55/C52)</f>
        <v>2.057613169</v>
      </c>
      <c r="D56" s="131">
        <f t="shared" si="12"/>
        <v>2.057613169</v>
      </c>
      <c r="E56" s="131">
        <f t="shared" si="12"/>
        <v>2.057613169</v>
      </c>
      <c r="F56" s="132">
        <f t="shared" si="12"/>
        <v>2.057613169</v>
      </c>
    </row>
    <row r="58">
      <c r="B58" s="133" t="s">
        <v>6</v>
      </c>
      <c r="C58" s="134" t="s">
        <v>51</v>
      </c>
      <c r="D58" s="135"/>
      <c r="E58" s="135"/>
      <c r="F58" s="136"/>
    </row>
    <row r="59">
      <c r="B59" s="137"/>
      <c r="C59" s="138" t="s">
        <v>45</v>
      </c>
      <c r="D59" s="84" t="s">
        <v>47</v>
      </c>
      <c r="E59" s="139" t="s">
        <v>52</v>
      </c>
      <c r="F59" s="140" t="s">
        <v>46</v>
      </c>
    </row>
    <row r="60">
      <c r="B60" s="16" t="str">
        <f>'Founding Round'!C$5</f>
        <v>Lallan</v>
      </c>
      <c r="C60" s="141">
        <f>'Founding Round'!C8</f>
        <v>0.5</v>
      </c>
      <c r="D60" s="142">
        <f t="shared" ref="D60:D63" si="13">C60*(1-D$64)</f>
        <v>0.45</v>
      </c>
      <c r="E60" s="142">
        <f t="shared" ref="E60:E63" si="14">D60*(1-SUM(E$65:E$68)/(1-E$64))</f>
        <v>0.4463235294</v>
      </c>
      <c r="F60" s="86">
        <f t="shared" ref="F60:F63" si="15">E60*(1-F$69/(1-SUM(F$64:F$68)))</f>
        <v>0.3963235294</v>
      </c>
    </row>
    <row r="61">
      <c r="B61" s="16" t="str">
        <f>'Founding Round'!D$5</f>
        <v>Chaggan guru</v>
      </c>
      <c r="C61" s="109">
        <f>'Founding Round'!C9</f>
        <v>0.35</v>
      </c>
      <c r="D61" s="108">
        <f t="shared" si="13"/>
        <v>0.315</v>
      </c>
      <c r="E61" s="108">
        <f t="shared" si="14"/>
        <v>0.3124264706</v>
      </c>
      <c r="F61" s="86">
        <f t="shared" si="15"/>
        <v>0.2774264706</v>
      </c>
    </row>
    <row r="62">
      <c r="B62" s="16" t="str">
        <f>'Founding Round'!E$5</f>
        <v>Mia Mumman</v>
      </c>
      <c r="C62" s="109">
        <f>'Founding Round'!C10</f>
        <v>0.1</v>
      </c>
      <c r="D62" s="108">
        <f t="shared" si="13"/>
        <v>0.09</v>
      </c>
      <c r="E62" s="108">
        <f t="shared" si="14"/>
        <v>0.08926470588</v>
      </c>
      <c r="F62" s="86">
        <f t="shared" si="15"/>
        <v>0.07926470588</v>
      </c>
    </row>
    <row r="63">
      <c r="B63" s="16" t="str">
        <f>'Founding Round'!F$5</f>
        <v>Golu</v>
      </c>
      <c r="C63" s="109">
        <f>'Founding Round'!C11</f>
        <v>0.05</v>
      </c>
      <c r="D63" s="108">
        <f t="shared" si="13"/>
        <v>0.045</v>
      </c>
      <c r="E63" s="108">
        <f t="shared" si="14"/>
        <v>0.04463235294</v>
      </c>
      <c r="F63" s="86">
        <f t="shared" si="15"/>
        <v>0.03963235294</v>
      </c>
    </row>
    <row r="64">
      <c r="B64" s="16" t="s">
        <v>47</v>
      </c>
      <c r="C64" s="143"/>
      <c r="D64" s="111">
        <f>'First Equity Round'!F7</f>
        <v>0.1</v>
      </c>
      <c r="E64" s="144">
        <f t="shared" ref="E64:F64" si="16">D64</f>
        <v>0.1</v>
      </c>
      <c r="F64" s="112">
        <f t="shared" si="16"/>
        <v>0.1</v>
      </c>
    </row>
    <row r="65">
      <c r="B65" s="16" t="str">
        <f>'Debt Round'!C$5</f>
        <v>Guddan</v>
      </c>
      <c r="C65" s="145"/>
      <c r="D65" s="108"/>
      <c r="E65" s="146">
        <f>C$56/(D$48+SUM(C$56:F$56))</f>
        <v>0.001838235294</v>
      </c>
      <c r="F65" s="147">
        <f t="shared" ref="F65:F68" si="17">E65</f>
        <v>0.001838235294</v>
      </c>
    </row>
    <row r="66">
      <c r="B66" s="16" t="str">
        <f>'Debt Round'!D$5</f>
        <v>Laali</v>
      </c>
      <c r="C66" s="145"/>
      <c r="D66" s="148"/>
      <c r="E66" s="146">
        <f>D$56/(D$48+SUM(C$56:F$56))</f>
        <v>0.001838235294</v>
      </c>
      <c r="F66" s="147">
        <f t="shared" si="17"/>
        <v>0.001838235294</v>
      </c>
    </row>
    <row r="67">
      <c r="B67" s="16" t="str">
        <f>'Debt Round'!E$5</f>
        <v>Puttan</v>
      </c>
      <c r="C67" s="145"/>
      <c r="D67" s="148"/>
      <c r="E67" s="146">
        <f>E$56/(D$48+SUM(C$56:F$56))</f>
        <v>0.001838235294</v>
      </c>
      <c r="F67" s="147">
        <f t="shared" si="17"/>
        <v>0.001838235294</v>
      </c>
    </row>
    <row r="68">
      <c r="B68" s="16" t="str">
        <f>'Debt Round'!F$5</f>
        <v>Bankelal</v>
      </c>
      <c r="C68" s="145"/>
      <c r="D68" s="148"/>
      <c r="E68" s="149">
        <f>F$56/(D$48+SUM(C$56:F$56))</f>
        <v>0.001838235294</v>
      </c>
      <c r="F68" s="147">
        <f t="shared" si="17"/>
        <v>0.001838235294</v>
      </c>
    </row>
    <row r="69">
      <c r="B69" s="16" t="str">
        <f>'First Equity Round'!C$5</f>
        <v>Bawandar Mix</v>
      </c>
      <c r="C69" s="145"/>
      <c r="D69" s="150"/>
      <c r="E69" s="151"/>
      <c r="F69" s="152">
        <f>C10</f>
        <v>0.1</v>
      </c>
    </row>
    <row r="70">
      <c r="B70" s="18"/>
      <c r="C70" s="153">
        <f>SUM(C60:C63)</f>
        <v>1</v>
      </c>
      <c r="D70" s="114">
        <f>SUM(D60:D64)</f>
        <v>1</v>
      </c>
      <c r="E70" s="114">
        <f>SUM(E60:E68)</f>
        <v>1</v>
      </c>
      <c r="F70" s="152">
        <f>SUM(F60:F69)</f>
        <v>1</v>
      </c>
    </row>
    <row r="72">
      <c r="B72" s="154" t="s">
        <v>10</v>
      </c>
      <c r="C72" s="155" t="s">
        <v>51</v>
      </c>
      <c r="D72" s="135"/>
      <c r="E72" s="135"/>
      <c r="F72" s="136"/>
    </row>
    <row r="73">
      <c r="B73" s="156"/>
      <c r="C73" s="157" t="s">
        <v>45</v>
      </c>
      <c r="D73" s="119" t="s">
        <v>47</v>
      </c>
      <c r="E73" s="158" t="s">
        <v>52</v>
      </c>
      <c r="F73" s="140" t="s">
        <v>46</v>
      </c>
    </row>
    <row r="74">
      <c r="B74" s="16" t="s">
        <v>43</v>
      </c>
      <c r="C74" s="159">
        <f>C7</f>
        <v>135000000</v>
      </c>
      <c r="D74" s="160">
        <f>C7</f>
        <v>135000000</v>
      </c>
      <c r="E74" s="160">
        <f>C7</f>
        <v>135000000</v>
      </c>
      <c r="F74" s="161">
        <f>C9</f>
        <v>150000000</v>
      </c>
    </row>
    <row r="75">
      <c r="B75" s="16" t="s">
        <v>44</v>
      </c>
      <c r="C75" s="162">
        <f t="shared" ref="C75:F75" si="18">C74/C86</f>
        <v>135000</v>
      </c>
      <c r="D75" s="163">
        <f t="shared" si="18"/>
        <v>121500</v>
      </c>
      <c r="E75" s="163">
        <f t="shared" si="18"/>
        <v>120606.6176</v>
      </c>
      <c r="F75" s="164">
        <f t="shared" si="18"/>
        <v>120606.6176</v>
      </c>
    </row>
    <row r="76">
      <c r="B76" s="16" t="str">
        <f>'Founding Round'!C$5</f>
        <v>Lallan</v>
      </c>
      <c r="C76" s="165">
        <f>'Founding Round'!C8*'Founding Round'!F$7*$C$39</f>
        <v>500</v>
      </c>
      <c r="D76" s="120">
        <f t="shared" ref="D76:F76" si="19">C76</f>
        <v>500</v>
      </c>
      <c r="E76" s="120">
        <f t="shared" si="19"/>
        <v>500</v>
      </c>
      <c r="F76" s="81">
        <f t="shared" si="19"/>
        <v>500</v>
      </c>
    </row>
    <row r="77">
      <c r="B77" s="16" t="str">
        <f>'Founding Round'!D$5</f>
        <v>Chaggan guru</v>
      </c>
      <c r="C77" s="165">
        <f>'Founding Round'!C9*'Founding Round'!F$7*$C$39</f>
        <v>350</v>
      </c>
      <c r="D77" s="120">
        <f t="shared" ref="D77:F77" si="20">C77</f>
        <v>350</v>
      </c>
      <c r="E77" s="120">
        <f t="shared" si="20"/>
        <v>350</v>
      </c>
      <c r="F77" s="81">
        <f t="shared" si="20"/>
        <v>350</v>
      </c>
    </row>
    <row r="78">
      <c r="B78" s="16" t="str">
        <f>'Founding Round'!E$5</f>
        <v>Mia Mumman</v>
      </c>
      <c r="C78" s="165">
        <f>'Founding Round'!C10*'Founding Round'!F$7*$C$39</f>
        <v>100</v>
      </c>
      <c r="D78" s="120">
        <f t="shared" ref="D78:F78" si="21">C78</f>
        <v>100</v>
      </c>
      <c r="E78" s="120">
        <f t="shared" si="21"/>
        <v>100</v>
      </c>
      <c r="F78" s="81">
        <f t="shared" si="21"/>
        <v>100</v>
      </c>
    </row>
    <row r="79">
      <c r="B79" s="16" t="str">
        <f>'Founding Round'!F$5</f>
        <v>Golu</v>
      </c>
      <c r="C79" s="166">
        <f>'Founding Round'!C11*'Founding Round'!F$7*$C$39</f>
        <v>50</v>
      </c>
      <c r="D79" s="120">
        <f t="shared" ref="D79:F79" si="22">C79</f>
        <v>50</v>
      </c>
      <c r="E79" s="120">
        <f t="shared" si="22"/>
        <v>50</v>
      </c>
      <c r="F79" s="81">
        <f t="shared" si="22"/>
        <v>50</v>
      </c>
    </row>
    <row r="80">
      <c r="B80" s="16" t="s">
        <v>47</v>
      </c>
      <c r="C80" s="31"/>
      <c r="D80" s="167">
        <f>C86/(1-D64)*D64</f>
        <v>111.1111111</v>
      </c>
      <c r="E80" s="122">
        <f t="shared" ref="E80:F80" si="23">D80</f>
        <v>111.1111111</v>
      </c>
      <c r="F80" s="123">
        <f t="shared" si="23"/>
        <v>111.1111111</v>
      </c>
    </row>
    <row r="81">
      <c r="B81" s="16" t="str">
        <f>'Debt Round'!C$5</f>
        <v>Guddan</v>
      </c>
      <c r="C81" s="168"/>
      <c r="D81" s="120"/>
      <c r="E81" s="169">
        <f>C56</f>
        <v>2.057613169</v>
      </c>
      <c r="F81" s="170">
        <f t="shared" ref="F81:F84" si="24">E81</f>
        <v>2.057613169</v>
      </c>
    </row>
    <row r="82">
      <c r="B82" s="16" t="str">
        <f>'Debt Round'!D$5</f>
        <v>Laali</v>
      </c>
      <c r="C82" s="168"/>
      <c r="D82" s="171"/>
      <c r="E82" s="172">
        <f>D56</f>
        <v>2.057613169</v>
      </c>
      <c r="F82" s="170">
        <f t="shared" si="24"/>
        <v>2.057613169</v>
      </c>
    </row>
    <row r="83">
      <c r="B83" s="16" t="str">
        <f>'Debt Round'!E$5</f>
        <v>Puttan</v>
      </c>
      <c r="C83" s="168"/>
      <c r="D83" s="171"/>
      <c r="E83" s="172">
        <f>E56</f>
        <v>2.057613169</v>
      </c>
      <c r="F83" s="170">
        <f t="shared" si="24"/>
        <v>2.057613169</v>
      </c>
    </row>
    <row r="84">
      <c r="B84" s="16" t="str">
        <f>'Debt Round'!F$5</f>
        <v>Bankelal</v>
      </c>
      <c r="C84" s="168"/>
      <c r="D84" s="171"/>
      <c r="E84" s="172">
        <f>F56</f>
        <v>2.057613169</v>
      </c>
      <c r="F84" s="170">
        <f t="shared" si="24"/>
        <v>2.057613169</v>
      </c>
    </row>
    <row r="85">
      <c r="B85" s="16" t="str">
        <f>'First Equity Round'!C$5</f>
        <v>Bawandar Mix</v>
      </c>
      <c r="C85" s="168"/>
      <c r="D85" s="150"/>
      <c r="E85" s="160"/>
      <c r="F85" s="173">
        <f>E$86/(1-F69)*F69</f>
        <v>124.3712849</v>
      </c>
    </row>
    <row r="86">
      <c r="B86" s="18"/>
      <c r="C86" s="174">
        <f>SUM(C76:C79)</f>
        <v>1000</v>
      </c>
      <c r="D86" s="175">
        <f>SUM(D76:D80)</f>
        <v>1111.111111</v>
      </c>
      <c r="E86" s="175">
        <f>SUM(E76:E84)</f>
        <v>1119.341564</v>
      </c>
      <c r="F86" s="176">
        <f>SUM(F76:F85)</f>
        <v>1243.712849</v>
      </c>
    </row>
  </sheetData>
  <mergeCells count="3">
    <mergeCell ref="B2:F2"/>
    <mergeCell ref="C58:F58"/>
    <mergeCell ref="C72:F7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 ht="82.5">
      <c r="B2" s="1" t="s">
        <v>54</v>
      </c>
      <c r="C2" s="2"/>
      <c r="D2" s="2"/>
      <c r="E2" s="2"/>
      <c r="F2" s="2"/>
      <c r="G2" s="2"/>
      <c r="H2" s="2"/>
      <c r="I2" s="2"/>
      <c r="J2" s="3"/>
    </row>
    <row r="4">
      <c r="B4" s="5"/>
      <c r="C4" s="185" t="s">
        <v>55</v>
      </c>
      <c r="D4" s="186" t="s">
        <v>56</v>
      </c>
    </row>
    <row r="5">
      <c r="B5" s="9" t="s">
        <v>15</v>
      </c>
      <c r="C5" s="10" t="s">
        <v>57</v>
      </c>
      <c r="D5" s="11" t="s">
        <v>58</v>
      </c>
    </row>
    <row r="7">
      <c r="B7" s="14" t="s">
        <v>6</v>
      </c>
      <c r="C7" s="187" t="s">
        <v>51</v>
      </c>
      <c r="D7" s="135"/>
      <c r="E7" s="135"/>
      <c r="F7" s="136"/>
      <c r="G7" s="187" t="s">
        <v>59</v>
      </c>
      <c r="H7" s="136"/>
      <c r="I7" s="187" t="s">
        <v>60</v>
      </c>
      <c r="J7" s="136"/>
    </row>
    <row r="8">
      <c r="B8" s="99"/>
      <c r="C8" s="188" t="s">
        <v>45</v>
      </c>
      <c r="D8" s="188" t="s">
        <v>47</v>
      </c>
      <c r="E8" s="139" t="s">
        <v>52</v>
      </c>
      <c r="F8" s="140" t="s">
        <v>46</v>
      </c>
      <c r="G8" s="84" t="s">
        <v>61</v>
      </c>
      <c r="H8" s="106" t="s">
        <v>46</v>
      </c>
      <c r="I8" s="188" t="s">
        <v>62</v>
      </c>
      <c r="J8" s="189" t="s">
        <v>46</v>
      </c>
    </row>
    <row r="9">
      <c r="B9" s="16" t="str">
        <f>'Founding Round'!C$5</f>
        <v>Lallan</v>
      </c>
      <c r="C9" s="190">
        <f>'Founding Round'!C8</f>
        <v>0.5</v>
      </c>
      <c r="D9" s="142">
        <f t="shared" ref="D9:D12" si="1">C9*(1-D$13)</f>
        <v>0.45</v>
      </c>
      <c r="E9" s="142">
        <f t="shared" ref="E9:E12" si="2">D9*(1-SUM(E$14:E$17)/(1-E$13))</f>
        <v>0.4463235294</v>
      </c>
      <c r="F9" s="86">
        <f t="shared" ref="F9:F12" si="3">E9*(1-F$18/(1-SUM(F$13:F$17)))</f>
        <v>0.3963235294</v>
      </c>
      <c r="G9" s="108">
        <f t="shared" ref="G9:G12" si="4">F9*(1-(G$19/(1-G$13-IF(G$24&gt;=2,0,G$18)-IF(G$24&gt;=1,0,SUM(G$14:G$17)))))</f>
        <v>0.3522875817</v>
      </c>
      <c r="H9" s="108">
        <f t="shared" ref="H9:H12" si="5">G9*(1-(H$20/(1-H$13-H$19-IF(H$24&gt;=2,0,H$18)-IF(H$24&gt;=1,0,SUM(H$14:H$17)))))</f>
        <v>0.308251634</v>
      </c>
      <c r="I9" s="182">
        <f t="shared" ref="I9:I12" si="6">H9*(1-(I$21/(1-I$13-I$19-IF(I$24&gt;=2,0,I$18)-IF(I$24&gt;=3,0,I$20)-IF(I$24&gt;=1,0,SUM(I$14:I$17)))))</f>
        <v>0.2697201797</v>
      </c>
      <c r="J9" s="183">
        <f t="shared" ref="J9:J12" si="7">I9*(1-(J$22/(1-J$13-J$19-J$21-IF(J$24&gt;=2,0,J$18)-IF(J$24&gt;=3,0,J$20)-IF(J$24&gt;=1,0,SUM(J$14:J$17)))))</f>
        <v>0.2311887255</v>
      </c>
    </row>
    <row r="10">
      <c r="B10" s="16" t="str">
        <f>'Founding Round'!D$5</f>
        <v>Chaggan guru</v>
      </c>
      <c r="C10" s="107">
        <f>'Founding Round'!C9</f>
        <v>0.35</v>
      </c>
      <c r="D10" s="108">
        <f t="shared" si="1"/>
        <v>0.315</v>
      </c>
      <c r="E10" s="108">
        <f t="shared" si="2"/>
        <v>0.3124264706</v>
      </c>
      <c r="F10" s="86">
        <f t="shared" si="3"/>
        <v>0.2774264706</v>
      </c>
      <c r="G10" s="108">
        <f t="shared" si="4"/>
        <v>0.2466013072</v>
      </c>
      <c r="H10" s="108">
        <f t="shared" si="5"/>
        <v>0.2157761438</v>
      </c>
      <c r="I10" s="184">
        <f t="shared" si="6"/>
        <v>0.1888041258</v>
      </c>
      <c r="J10" s="86">
        <f t="shared" si="7"/>
        <v>0.1618321078</v>
      </c>
    </row>
    <row r="11">
      <c r="B11" s="16" t="str">
        <f>'Founding Round'!E$5</f>
        <v>Mia Mumman</v>
      </c>
      <c r="C11" s="107">
        <f>'Founding Round'!C10</f>
        <v>0.1</v>
      </c>
      <c r="D11" s="108">
        <f t="shared" si="1"/>
        <v>0.09</v>
      </c>
      <c r="E11" s="108">
        <f t="shared" si="2"/>
        <v>0.08926470588</v>
      </c>
      <c r="F11" s="86">
        <f t="shared" si="3"/>
        <v>0.07926470588</v>
      </c>
      <c r="G11" s="108">
        <f t="shared" si="4"/>
        <v>0.07045751634</v>
      </c>
      <c r="H11" s="108">
        <f t="shared" si="5"/>
        <v>0.0616503268</v>
      </c>
      <c r="I11" s="184">
        <f t="shared" si="6"/>
        <v>0.05394403595</v>
      </c>
      <c r="J11" s="86">
        <f t="shared" si="7"/>
        <v>0.0462377451</v>
      </c>
    </row>
    <row r="12">
      <c r="B12" s="16" t="str">
        <f>'Founding Round'!F$5</f>
        <v>Golu</v>
      </c>
      <c r="C12" s="110">
        <f>'Founding Round'!C11</f>
        <v>0.05</v>
      </c>
      <c r="D12" s="108">
        <f t="shared" si="1"/>
        <v>0.045</v>
      </c>
      <c r="E12" s="108">
        <f t="shared" si="2"/>
        <v>0.04463235294</v>
      </c>
      <c r="F12" s="86">
        <f t="shared" si="3"/>
        <v>0.03963235294</v>
      </c>
      <c r="G12" s="108">
        <f t="shared" si="4"/>
        <v>0.03522875817</v>
      </c>
      <c r="H12" s="108">
        <f t="shared" si="5"/>
        <v>0.0308251634</v>
      </c>
      <c r="I12" s="184">
        <f t="shared" si="6"/>
        <v>0.02697201797</v>
      </c>
      <c r="J12" s="86">
        <f t="shared" si="7"/>
        <v>0.02311887255</v>
      </c>
    </row>
    <row r="13">
      <c r="B13" s="16" t="s">
        <v>47</v>
      </c>
      <c r="C13" s="86"/>
      <c r="D13" s="111">
        <f>'First Equity Round'!F7</f>
        <v>0.1</v>
      </c>
      <c r="E13" s="144">
        <f t="shared" ref="E13:J13" si="8">D13</f>
        <v>0.1</v>
      </c>
      <c r="F13" s="112">
        <f t="shared" si="8"/>
        <v>0.1</v>
      </c>
      <c r="G13" s="144">
        <f t="shared" si="8"/>
        <v>0.1</v>
      </c>
      <c r="H13" s="112">
        <f t="shared" si="8"/>
        <v>0.1</v>
      </c>
      <c r="I13" s="144">
        <f t="shared" si="8"/>
        <v>0.1</v>
      </c>
      <c r="J13" s="112">
        <f t="shared" si="8"/>
        <v>0.1</v>
      </c>
    </row>
    <row r="14">
      <c r="B14" s="16" t="str">
        <f>'Debt Round'!C$5</f>
        <v>Guddan</v>
      </c>
      <c r="C14" s="113"/>
      <c r="D14" s="108"/>
      <c r="E14" s="146">
        <f>'First Equity Round'!E65</f>
        <v>0.001838235294</v>
      </c>
      <c r="F14" s="90">
        <f t="shared" ref="F14:F17" si="9">E14</f>
        <v>0.001838235294</v>
      </c>
      <c r="G14" s="194">
        <f t="shared" ref="G14:G17" si="10">IF(G$24&gt;=1,F14*(1-(G$19/(1-G$13-IF(G$24&gt;=2,0,G$18)))),F14)</f>
        <v>0.001633986928</v>
      </c>
      <c r="H14" s="194">
        <f t="shared" ref="H14:H17" si="11">IF(H$24&gt;=1,G14*(1-(H$20/(1-H$13-H$19-IF(H$24&gt;=2,0,H$18)))),G14)</f>
        <v>0.001429738562</v>
      </c>
      <c r="I14" s="196">
        <f t="shared" ref="I14:I17" si="12">IF(I$24&gt;=1,H14*(1-(I$21/(1-I$13-I$19-IF(I$24&gt;=2,0,I$18)-IF(I$24&gt;=3,0,I$20)))),H14)</f>
        <v>0.001251021242</v>
      </c>
      <c r="J14" s="199">
        <f t="shared" ref="J14:J17" si="13">IF(J$24&gt;=1,I14*(1-(J$22/(1-J$13-J$19-J$21-IF(J$24&gt;=2,0,J$18)-IF(J$24&gt;=3,0,J$20)))),I14)</f>
        <v>0.001072303922</v>
      </c>
    </row>
    <row r="15">
      <c r="B15" s="16" t="str">
        <f>'Debt Round'!D$5</f>
        <v>Laali</v>
      </c>
      <c r="C15" s="113"/>
      <c r="D15" s="148"/>
      <c r="E15" s="146">
        <f>'First Equity Round'!E66</f>
        <v>0.001838235294</v>
      </c>
      <c r="F15" s="90">
        <f t="shared" si="9"/>
        <v>0.001838235294</v>
      </c>
      <c r="G15" s="194">
        <f t="shared" si="10"/>
        <v>0.001633986928</v>
      </c>
      <c r="H15" s="199">
        <f t="shared" si="11"/>
        <v>0.001429738562</v>
      </c>
      <c r="I15" s="196">
        <f t="shared" si="12"/>
        <v>0.001251021242</v>
      </c>
      <c r="J15" s="199">
        <f t="shared" si="13"/>
        <v>0.001072303922</v>
      </c>
    </row>
    <row r="16">
      <c r="B16" s="16" t="str">
        <f>'Debt Round'!E$5</f>
        <v>Puttan</v>
      </c>
      <c r="C16" s="113"/>
      <c r="D16" s="148"/>
      <c r="E16" s="146">
        <f>'First Equity Round'!E67</f>
        <v>0.001838235294</v>
      </c>
      <c r="F16" s="90">
        <f t="shared" si="9"/>
        <v>0.001838235294</v>
      </c>
      <c r="G16" s="194">
        <f t="shared" si="10"/>
        <v>0.001633986928</v>
      </c>
      <c r="H16" s="199">
        <f t="shared" si="11"/>
        <v>0.001429738562</v>
      </c>
      <c r="I16" s="196">
        <f t="shared" si="12"/>
        <v>0.001251021242</v>
      </c>
      <c r="J16" s="199">
        <f t="shared" si="13"/>
        <v>0.001072303922</v>
      </c>
    </row>
    <row r="17">
      <c r="B17" s="16" t="str">
        <f>'Debt Round'!F$5</f>
        <v>Bankelal</v>
      </c>
      <c r="C17" s="113"/>
      <c r="D17" s="148"/>
      <c r="E17" s="149">
        <f>'First Equity Round'!E68</f>
        <v>0.001838235294</v>
      </c>
      <c r="F17" s="90">
        <f t="shared" si="9"/>
        <v>0.001838235294</v>
      </c>
      <c r="G17" s="194">
        <f t="shared" si="10"/>
        <v>0.001633986928</v>
      </c>
      <c r="H17" s="199">
        <f t="shared" si="11"/>
        <v>0.001429738562</v>
      </c>
      <c r="I17" s="196">
        <f t="shared" si="12"/>
        <v>0.001251021242</v>
      </c>
      <c r="J17" s="199">
        <f t="shared" si="13"/>
        <v>0.001072303922</v>
      </c>
    </row>
    <row r="18">
      <c r="B18" s="16" t="str">
        <f>'First Equity Round'!C$5</f>
        <v>Bawandar Mix</v>
      </c>
      <c r="C18" s="113"/>
      <c r="D18" s="150"/>
      <c r="E18" s="151"/>
      <c r="F18" s="152">
        <f>'First Equity Round'!C10</f>
        <v>0.1</v>
      </c>
      <c r="G18" s="108">
        <f>IF(G$24&gt;=2,F18*(1-(G$19/(1-G$13))),F18)</f>
        <v>0.08888888889</v>
      </c>
      <c r="H18" s="108">
        <f>IF(H$24&gt;=2,G18*(1-(H$20/(1-H$13-H$19))),G18)</f>
        <v>0.07777777778</v>
      </c>
      <c r="I18" s="184">
        <f>IF(I$24&gt;=2,H18*(1-(I$21/(1-I$13-I$19-IF(I$24&gt;=3,0,I20)))),H18)</f>
        <v>0.06805555556</v>
      </c>
      <c r="J18" s="86">
        <f>IF(J$24&gt;=2,I18*(1-(J$22/(1-J$13-J$19-J$21-IF(J$24&gt;=3,0,J20)))),I18)</f>
        <v>0.05833333333</v>
      </c>
    </row>
    <row r="19">
      <c r="B19" s="68" t="s">
        <v>61</v>
      </c>
      <c r="C19" s="200"/>
      <c r="D19" s="200"/>
      <c r="E19" s="200"/>
      <c r="F19" s="200"/>
      <c r="G19" s="201">
        <v>0.1</v>
      </c>
      <c r="H19" s="112">
        <f t="shared" ref="H19:J19" si="14">G19</f>
        <v>0.1</v>
      </c>
      <c r="I19" s="144">
        <f t="shared" si="14"/>
        <v>0.1</v>
      </c>
      <c r="J19" s="112">
        <f t="shared" si="14"/>
        <v>0.1</v>
      </c>
    </row>
    <row r="20">
      <c r="B20" s="16" t="str">
        <f>C$5</f>
        <v>Jaggu Dada</v>
      </c>
      <c r="C20" s="200"/>
      <c r="D20" s="200"/>
      <c r="E20" s="200"/>
      <c r="F20" s="200"/>
      <c r="G20" s="86"/>
      <c r="H20" s="83">
        <v>0.1</v>
      </c>
      <c r="I20" s="184">
        <f>IF(I$24&gt;=3,H20*(1-(I$21/(1-I$13-I$19))),H20)</f>
        <v>0.0875</v>
      </c>
      <c r="J20" s="86">
        <f>IF(J$24&gt;=3,I20*(1-(J$22/(1-J$13-J$19-J$21))),I20)</f>
        <v>0.075</v>
      </c>
    </row>
    <row r="21">
      <c r="B21" s="16" t="s">
        <v>62</v>
      </c>
      <c r="C21" s="200"/>
      <c r="D21" s="200"/>
      <c r="E21" s="200"/>
      <c r="F21" s="200"/>
      <c r="G21" s="150"/>
      <c r="H21" s="86"/>
      <c r="I21" s="202">
        <v>0.1</v>
      </c>
      <c r="J21" s="112">
        <f>I21</f>
        <v>0.1</v>
      </c>
    </row>
    <row r="22">
      <c r="B22" s="16" t="str">
        <f>D$5</f>
        <v>Bhokaali Baba</v>
      </c>
      <c r="C22" s="200"/>
      <c r="D22" s="200"/>
      <c r="E22" s="200"/>
      <c r="F22" s="200"/>
      <c r="G22" s="150"/>
      <c r="H22" s="150"/>
      <c r="I22" s="86"/>
      <c r="J22" s="83">
        <v>0.1</v>
      </c>
    </row>
    <row r="23">
      <c r="B23" s="92"/>
      <c r="C23" s="114">
        <f>SUM(C9:C12)</f>
        <v>1</v>
      </c>
      <c r="D23" s="114">
        <f>SUM(D9:D13)</f>
        <v>1</v>
      </c>
      <c r="E23" s="114">
        <f>SUM(E9:E17)</f>
        <v>1</v>
      </c>
      <c r="F23" s="203">
        <f>SUM(F9:F18)</f>
        <v>1</v>
      </c>
      <c r="G23" s="114">
        <f>SUM(G9:G19)</f>
        <v>1</v>
      </c>
      <c r="H23" s="114">
        <f>SUM(H9:H20)</f>
        <v>1</v>
      </c>
      <c r="I23" s="114">
        <f>SUM(I9:I21)</f>
        <v>1</v>
      </c>
      <c r="J23" s="152">
        <f>SUM(J9:J22)</f>
        <v>1</v>
      </c>
    </row>
    <row r="24">
      <c r="B24" s="50"/>
      <c r="G24" s="204">
        <v>2.0</v>
      </c>
      <c r="H24" s="204">
        <v>2.0</v>
      </c>
      <c r="I24" s="204">
        <v>3.0</v>
      </c>
      <c r="J24" s="204">
        <v>3.0</v>
      </c>
    </row>
    <row r="25">
      <c r="B25" s="50"/>
    </row>
    <row r="26">
      <c r="B26" s="95"/>
      <c r="C26" s="204">
        <v>1.0</v>
      </c>
      <c r="G26" s="204">
        <v>1.0</v>
      </c>
      <c r="I26" s="204">
        <v>1.0</v>
      </c>
    </row>
    <row r="27">
      <c r="B27" s="205" t="s">
        <v>10</v>
      </c>
      <c r="C27" s="155" t="s">
        <v>51</v>
      </c>
      <c r="D27" s="135"/>
      <c r="E27" s="135"/>
      <c r="F27" s="136"/>
      <c r="G27" s="187" t="s">
        <v>59</v>
      </c>
      <c r="H27" s="135"/>
      <c r="I27" s="134" t="s">
        <v>60</v>
      </c>
      <c r="J27" s="136"/>
    </row>
    <row r="28">
      <c r="B28" s="206"/>
      <c r="C28" s="157" t="s">
        <v>45</v>
      </c>
      <c r="D28" s="119" t="s">
        <v>47</v>
      </c>
      <c r="E28" s="158" t="s">
        <v>52</v>
      </c>
      <c r="F28" s="207" t="s">
        <v>46</v>
      </c>
      <c r="G28" s="84" t="s">
        <v>63</v>
      </c>
      <c r="H28" s="106" t="s">
        <v>46</v>
      </c>
      <c r="I28" s="84" t="s">
        <v>64</v>
      </c>
      <c r="J28" s="106" t="s">
        <v>46</v>
      </c>
    </row>
    <row r="29">
      <c r="B29" s="16" t="s">
        <v>43</v>
      </c>
      <c r="C29" s="159">
        <f>'First Equity Round'!C7</f>
        <v>135000000</v>
      </c>
      <c r="D29" s="160">
        <f>'First Equity Round'!C7</f>
        <v>135000000</v>
      </c>
      <c r="E29" s="160">
        <f>'First Equity Round'!C7</f>
        <v>135000000</v>
      </c>
      <c r="F29" s="161">
        <f>'First Equity Round'!C9</f>
        <v>150000000</v>
      </c>
      <c r="G29" s="208">
        <v>4.0E8</v>
      </c>
      <c r="H29" s="209">
        <v>4.5E8</v>
      </c>
      <c r="I29" s="210">
        <v>1.2E9</v>
      </c>
      <c r="J29" s="211">
        <v>1.35E9</v>
      </c>
    </row>
    <row r="30">
      <c r="B30" s="16" t="s">
        <v>44</v>
      </c>
      <c r="C30" s="162">
        <f t="shared" ref="C30:J30" si="15">C29/C45</f>
        <v>135000</v>
      </c>
      <c r="D30" s="163">
        <f t="shared" si="15"/>
        <v>121500</v>
      </c>
      <c r="E30" s="163">
        <f t="shared" si="15"/>
        <v>120606.6176</v>
      </c>
      <c r="F30" s="164">
        <f t="shared" si="15"/>
        <v>120606.6176</v>
      </c>
      <c r="G30" s="163">
        <f t="shared" si="15"/>
        <v>289455.8824</v>
      </c>
      <c r="H30" s="164">
        <f t="shared" si="15"/>
        <v>293074.0809</v>
      </c>
      <c r="I30" s="163">
        <f t="shared" si="15"/>
        <v>703377.7941</v>
      </c>
      <c r="J30" s="164">
        <f t="shared" si="15"/>
        <v>712170.0165</v>
      </c>
    </row>
    <row r="31">
      <c r="B31" s="16" t="str">
        <f>'Founding Round'!C$5</f>
        <v>Lallan</v>
      </c>
      <c r="C31" s="165">
        <f>'Founding Round'!C8*'Founding Round'!F$7*$C$26</f>
        <v>500</v>
      </c>
      <c r="D31" s="120">
        <f t="shared" ref="D31:F31" si="16">C31</f>
        <v>500</v>
      </c>
      <c r="E31" s="120">
        <f t="shared" si="16"/>
        <v>500</v>
      </c>
      <c r="F31" s="120">
        <f t="shared" si="16"/>
        <v>500</v>
      </c>
      <c r="G31" s="165">
        <f t="shared" ref="G31:G40" si="18">F31*$G$26</f>
        <v>500</v>
      </c>
      <c r="H31" s="81">
        <f t="shared" ref="H31:H41" si="19">G31</f>
        <v>500</v>
      </c>
      <c r="I31" s="120">
        <f t="shared" ref="I31:I42" si="20">H31*I$26</f>
        <v>500</v>
      </c>
      <c r="J31" s="81">
        <f t="shared" ref="J31:J43" si="21">I31</f>
        <v>500</v>
      </c>
    </row>
    <row r="32">
      <c r="B32" s="16" t="str">
        <f>'Founding Round'!D$5</f>
        <v>Chaggan guru</v>
      </c>
      <c r="C32" s="165">
        <f>'Founding Round'!C9*'Founding Round'!F$7*$C$26</f>
        <v>350</v>
      </c>
      <c r="D32" s="120">
        <f t="shared" ref="D32:F32" si="17">C32</f>
        <v>350</v>
      </c>
      <c r="E32" s="120">
        <f t="shared" si="17"/>
        <v>350</v>
      </c>
      <c r="F32" s="120">
        <f t="shared" si="17"/>
        <v>350</v>
      </c>
      <c r="G32" s="165">
        <f t="shared" si="18"/>
        <v>350</v>
      </c>
      <c r="H32" s="81">
        <f t="shared" si="19"/>
        <v>350</v>
      </c>
      <c r="I32" s="120">
        <f t="shared" si="20"/>
        <v>350</v>
      </c>
      <c r="J32" s="81">
        <f t="shared" si="21"/>
        <v>350</v>
      </c>
    </row>
    <row r="33">
      <c r="B33" s="16" t="str">
        <f>'Founding Round'!E$5</f>
        <v>Mia Mumman</v>
      </c>
      <c r="C33" s="165">
        <f>'Founding Round'!C10*'Founding Round'!F$7*$C$26</f>
        <v>100</v>
      </c>
      <c r="D33" s="120">
        <f t="shared" ref="D33:F33" si="22">C33</f>
        <v>100</v>
      </c>
      <c r="E33" s="120">
        <f t="shared" si="22"/>
        <v>100</v>
      </c>
      <c r="F33" s="120">
        <f t="shared" si="22"/>
        <v>100</v>
      </c>
      <c r="G33" s="165">
        <f t="shared" si="18"/>
        <v>100</v>
      </c>
      <c r="H33" s="81">
        <f t="shared" si="19"/>
        <v>100</v>
      </c>
      <c r="I33" s="120">
        <f t="shared" si="20"/>
        <v>100</v>
      </c>
      <c r="J33" s="81">
        <f t="shared" si="21"/>
        <v>100</v>
      </c>
    </row>
    <row r="34">
      <c r="B34" s="16" t="str">
        <f>'Founding Round'!F$5</f>
        <v>Golu</v>
      </c>
      <c r="C34" s="166">
        <f>'Founding Round'!C11*'Founding Round'!F$7*$C$26</f>
        <v>50</v>
      </c>
      <c r="D34" s="120">
        <f t="shared" ref="D34:F34" si="23">C34</f>
        <v>50</v>
      </c>
      <c r="E34" s="120">
        <f t="shared" si="23"/>
        <v>50</v>
      </c>
      <c r="F34" s="120">
        <f t="shared" si="23"/>
        <v>50</v>
      </c>
      <c r="G34" s="165">
        <f t="shared" si="18"/>
        <v>50</v>
      </c>
      <c r="H34" s="81">
        <f t="shared" si="19"/>
        <v>50</v>
      </c>
      <c r="I34" s="120">
        <f t="shared" si="20"/>
        <v>50</v>
      </c>
      <c r="J34" s="81">
        <f t="shared" si="21"/>
        <v>50</v>
      </c>
    </row>
    <row r="35">
      <c r="B35" s="16" t="s">
        <v>47</v>
      </c>
      <c r="C35" s="31"/>
      <c r="D35" s="167">
        <f>C45/(1-D13)*D13</f>
        <v>111.1111111</v>
      </c>
      <c r="E35" s="122">
        <f t="shared" ref="E35:F35" si="24">D35</f>
        <v>111.1111111</v>
      </c>
      <c r="F35" s="122">
        <f t="shared" si="24"/>
        <v>111.1111111</v>
      </c>
      <c r="G35" s="212">
        <f t="shared" si="18"/>
        <v>111.1111111</v>
      </c>
      <c r="H35" s="122">
        <f t="shared" si="19"/>
        <v>111.1111111</v>
      </c>
      <c r="I35" s="212">
        <f t="shared" si="20"/>
        <v>111.1111111</v>
      </c>
      <c r="J35" s="123">
        <f t="shared" si="21"/>
        <v>111.1111111</v>
      </c>
    </row>
    <row r="36">
      <c r="B36" s="16" t="str">
        <f>'Debt Round'!C$5</f>
        <v>Guddan</v>
      </c>
      <c r="C36" s="168"/>
      <c r="D36" s="120"/>
      <c r="E36" s="169">
        <f>'First Equity Round'!E81*C$26</f>
        <v>2.057613169</v>
      </c>
      <c r="F36" s="172">
        <f t="shared" ref="F36:F39" si="25">E36</f>
        <v>2.057613169</v>
      </c>
      <c r="G36" s="169">
        <f t="shared" si="18"/>
        <v>2.057613169</v>
      </c>
      <c r="H36" s="172">
        <f t="shared" si="19"/>
        <v>2.057613169</v>
      </c>
      <c r="I36" s="169">
        <f t="shared" si="20"/>
        <v>2.057613169</v>
      </c>
      <c r="J36" s="170">
        <f t="shared" si="21"/>
        <v>2.057613169</v>
      </c>
    </row>
    <row r="37">
      <c r="B37" s="16" t="str">
        <f>'Debt Round'!D$5</f>
        <v>Laali</v>
      </c>
      <c r="C37" s="168"/>
      <c r="D37" s="171"/>
      <c r="E37" s="169">
        <f>'First Equity Round'!E82*C$26</f>
        <v>2.057613169</v>
      </c>
      <c r="F37" s="172">
        <f t="shared" si="25"/>
        <v>2.057613169</v>
      </c>
      <c r="G37" s="169">
        <f t="shared" si="18"/>
        <v>2.057613169</v>
      </c>
      <c r="H37" s="172">
        <f t="shared" si="19"/>
        <v>2.057613169</v>
      </c>
      <c r="I37" s="169">
        <f t="shared" si="20"/>
        <v>2.057613169</v>
      </c>
      <c r="J37" s="170">
        <f t="shared" si="21"/>
        <v>2.057613169</v>
      </c>
    </row>
    <row r="38">
      <c r="B38" s="16" t="str">
        <f>'Debt Round'!E$5</f>
        <v>Puttan</v>
      </c>
      <c r="C38" s="168"/>
      <c r="D38" s="171"/>
      <c r="E38" s="169">
        <f>'First Equity Round'!E83*C$26</f>
        <v>2.057613169</v>
      </c>
      <c r="F38" s="172">
        <f t="shared" si="25"/>
        <v>2.057613169</v>
      </c>
      <c r="G38" s="169">
        <f t="shared" si="18"/>
        <v>2.057613169</v>
      </c>
      <c r="H38" s="172">
        <f t="shared" si="19"/>
        <v>2.057613169</v>
      </c>
      <c r="I38" s="169">
        <f t="shared" si="20"/>
        <v>2.057613169</v>
      </c>
      <c r="J38" s="170">
        <f t="shared" si="21"/>
        <v>2.057613169</v>
      </c>
    </row>
    <row r="39">
      <c r="B39" s="16" t="str">
        <f>'Debt Round'!F$5</f>
        <v>Bankelal</v>
      </c>
      <c r="C39" s="168"/>
      <c r="D39" s="171"/>
      <c r="E39" s="169">
        <f>'First Equity Round'!E84*C$26</f>
        <v>2.057613169</v>
      </c>
      <c r="F39" s="172">
        <f t="shared" si="25"/>
        <v>2.057613169</v>
      </c>
      <c r="G39" s="169">
        <f t="shared" si="18"/>
        <v>2.057613169</v>
      </c>
      <c r="H39" s="172">
        <f t="shared" si="19"/>
        <v>2.057613169</v>
      </c>
      <c r="I39" s="169">
        <f t="shared" si="20"/>
        <v>2.057613169</v>
      </c>
      <c r="J39" s="170">
        <f t="shared" si="21"/>
        <v>2.057613169</v>
      </c>
    </row>
    <row r="40">
      <c r="B40" s="16" t="str">
        <f>'First Equity Round'!C$5</f>
        <v>Bawandar Mix</v>
      </c>
      <c r="C40" s="168"/>
      <c r="D40" s="150"/>
      <c r="E40" s="160"/>
      <c r="F40" s="213">
        <f>E$45/(1-'First Equity Round'!C10)*'First Equity Round'!C10</f>
        <v>124.3712849</v>
      </c>
      <c r="G40" s="165">
        <f t="shared" si="18"/>
        <v>124.3712849</v>
      </c>
      <c r="H40" s="214">
        <f t="shared" si="19"/>
        <v>124.3712849</v>
      </c>
      <c r="I40" s="215">
        <f t="shared" si="20"/>
        <v>124.3712849</v>
      </c>
      <c r="J40" s="216">
        <f t="shared" si="21"/>
        <v>124.3712849</v>
      </c>
    </row>
    <row r="41">
      <c r="B41" s="68" t="s">
        <v>61</v>
      </c>
      <c r="C41" s="200"/>
      <c r="D41" s="200"/>
      <c r="E41" s="200"/>
      <c r="F41" s="200"/>
      <c r="G41" s="217">
        <f>F$45/(1-G19)*G19</f>
        <v>138.1903165</v>
      </c>
      <c r="H41" s="218">
        <f t="shared" si="19"/>
        <v>138.1903165</v>
      </c>
      <c r="I41" s="219">
        <f t="shared" si="20"/>
        <v>138.1903165</v>
      </c>
      <c r="J41" s="220">
        <f t="shared" si="21"/>
        <v>138.1903165</v>
      </c>
    </row>
    <row r="42">
      <c r="B42" s="16" t="str">
        <f>C$5</f>
        <v>Jaggu Dada</v>
      </c>
      <c r="C42" s="200"/>
      <c r="D42" s="200"/>
      <c r="E42" s="200"/>
      <c r="F42" s="200"/>
      <c r="G42" s="81"/>
      <c r="H42" s="221">
        <f>G$45/(1-H20)*H20</f>
        <v>153.5447961</v>
      </c>
      <c r="I42" s="120">
        <f t="shared" si="20"/>
        <v>153.5447961</v>
      </c>
      <c r="J42" s="101">
        <f t="shared" si="21"/>
        <v>153.5447961</v>
      </c>
    </row>
    <row r="43">
      <c r="B43" s="16" t="s">
        <v>62</v>
      </c>
      <c r="C43" s="200"/>
      <c r="D43" s="200"/>
      <c r="E43" s="200"/>
      <c r="F43" s="200"/>
      <c r="G43" s="104"/>
      <c r="H43" s="81"/>
      <c r="I43" s="217">
        <f>H$45/(1-I21)*I21</f>
        <v>170.605329</v>
      </c>
      <c r="J43" s="220">
        <f t="shared" si="21"/>
        <v>170.605329</v>
      </c>
    </row>
    <row r="44">
      <c r="B44" s="16" t="str">
        <f>D$5</f>
        <v>Bhokaali Baba</v>
      </c>
      <c r="C44" s="200"/>
      <c r="D44" s="200"/>
      <c r="E44" s="200"/>
      <c r="F44" s="200"/>
      <c r="G44" s="150"/>
      <c r="H44" s="150"/>
      <c r="I44" s="81"/>
      <c r="J44" s="221">
        <f>I$45/(1-J22)*J22</f>
        <v>189.5614767</v>
      </c>
    </row>
    <row r="45">
      <c r="B45" s="92"/>
      <c r="C45" s="174">
        <f>SUM(C31:C34)</f>
        <v>1000</v>
      </c>
      <c r="D45" s="175">
        <f>SUM(D31:D35)</f>
        <v>1111.111111</v>
      </c>
      <c r="E45" s="175">
        <f>SUM(E31:E39)</f>
        <v>1119.341564</v>
      </c>
      <c r="F45" s="175">
        <f>SUM(F31:F40)</f>
        <v>1243.712849</v>
      </c>
      <c r="G45" s="175">
        <f>SUM(G31:G41)</f>
        <v>1381.903165</v>
      </c>
      <c r="H45" s="175">
        <f>SUM(H31:H42)</f>
        <v>1535.447961</v>
      </c>
      <c r="I45" s="175">
        <f>SUM(I31:I43)</f>
        <v>1706.05329</v>
      </c>
      <c r="J45" s="176">
        <f>SUM(J31:J44)</f>
        <v>1895.614767</v>
      </c>
    </row>
    <row r="47">
      <c r="B47" s="60"/>
      <c r="C47" s="60"/>
      <c r="D47" s="60"/>
      <c r="E47" s="60"/>
      <c r="F47" s="67"/>
      <c r="G47" s="60"/>
      <c r="H47" s="60"/>
      <c r="I47" s="60"/>
    </row>
    <row r="48">
      <c r="A48" s="39"/>
      <c r="B48" s="222"/>
      <c r="C48" s="222"/>
      <c r="D48" s="222"/>
      <c r="E48" s="222"/>
      <c r="F48" s="222"/>
      <c r="G48" s="222"/>
      <c r="H48" s="222"/>
      <c r="I48" s="222"/>
    </row>
    <row r="49">
      <c r="A49" s="39"/>
      <c r="B49" s="223"/>
      <c r="C49" s="28"/>
      <c r="D49" s="28"/>
      <c r="E49" s="28"/>
      <c r="F49" s="22"/>
      <c r="G49" s="22"/>
      <c r="H49" s="22"/>
      <c r="I49" s="22"/>
    </row>
    <row r="50">
      <c r="A50" s="39"/>
      <c r="B50" s="48"/>
      <c r="C50" s="32"/>
      <c r="D50" s="32"/>
      <c r="E50" s="28"/>
      <c r="F50" s="32"/>
      <c r="G50" s="28"/>
      <c r="H50" s="32"/>
      <c r="I50" s="28"/>
    </row>
    <row r="51">
      <c r="A51" s="39"/>
      <c r="B51" s="48"/>
      <c r="C51" s="32"/>
      <c r="D51" s="32"/>
      <c r="E51" s="28"/>
      <c r="F51" s="32"/>
      <c r="G51" s="28"/>
      <c r="H51" s="32"/>
      <c r="I51" s="28"/>
    </row>
    <row r="52">
      <c r="A52" s="39"/>
      <c r="B52" s="48"/>
      <c r="C52" s="32"/>
      <c r="D52" s="32"/>
      <c r="E52" s="28"/>
      <c r="F52" s="32"/>
      <c r="G52" s="28"/>
      <c r="H52" s="32"/>
      <c r="I52" s="28"/>
    </row>
    <row r="53">
      <c r="A53" s="39"/>
      <c r="B53" s="48"/>
      <c r="C53" s="32"/>
      <c r="D53" s="32"/>
      <c r="E53" s="28"/>
      <c r="F53" s="32"/>
      <c r="G53" s="28"/>
      <c r="H53" s="32"/>
      <c r="I53" s="28"/>
    </row>
    <row r="54">
      <c r="A54" s="39"/>
      <c r="B54" s="48"/>
      <c r="C54" s="32"/>
      <c r="D54" s="32"/>
      <c r="E54" s="28"/>
      <c r="F54" s="32"/>
      <c r="G54" s="28"/>
      <c r="H54" s="32"/>
      <c r="I54" s="28"/>
    </row>
    <row r="55">
      <c r="A55" s="39"/>
      <c r="B55" s="48"/>
      <c r="C55" s="32"/>
      <c r="D55" s="32"/>
      <c r="E55" s="28"/>
      <c r="F55" s="32"/>
      <c r="G55" s="28"/>
      <c r="H55" s="32"/>
      <c r="I55" s="28"/>
    </row>
    <row r="56">
      <c r="A56" s="39"/>
      <c r="B56" s="48"/>
      <c r="C56" s="32"/>
      <c r="D56" s="32"/>
      <c r="E56" s="28"/>
      <c r="F56" s="32"/>
      <c r="G56" s="28"/>
      <c r="H56" s="32"/>
      <c r="I56" s="28"/>
    </row>
    <row r="57">
      <c r="A57" s="39"/>
      <c r="B57" s="48"/>
      <c r="C57" s="32"/>
      <c r="D57" s="32"/>
      <c r="E57" s="28"/>
      <c r="F57" s="32"/>
      <c r="G57" s="28"/>
      <c r="H57" s="32"/>
      <c r="I57" s="28"/>
    </row>
    <row r="58">
      <c r="A58" s="39"/>
      <c r="B58" s="48"/>
      <c r="C58" s="32"/>
      <c r="D58" s="32"/>
      <c r="E58" s="28"/>
      <c r="F58" s="32"/>
      <c r="G58" s="28"/>
      <c r="H58" s="32"/>
      <c r="I58" s="28"/>
    </row>
    <row r="59">
      <c r="A59" s="39"/>
      <c r="B59" s="48"/>
      <c r="C59" s="32"/>
      <c r="D59" s="32"/>
      <c r="E59" s="28"/>
      <c r="F59" s="32"/>
      <c r="G59" s="28"/>
      <c r="H59" s="32"/>
      <c r="I59" s="28"/>
    </row>
    <row r="60">
      <c r="A60" s="39"/>
      <c r="B60" s="48"/>
      <c r="C60" s="32"/>
      <c r="D60" s="80"/>
      <c r="E60" s="80"/>
      <c r="F60" s="32"/>
      <c r="G60" s="28"/>
      <c r="H60" s="32"/>
      <c r="I60" s="28"/>
    </row>
    <row r="61">
      <c r="A61" s="39"/>
      <c r="B61" s="48"/>
      <c r="C61" s="32"/>
      <c r="D61" s="80"/>
      <c r="E61" s="80"/>
      <c r="F61" s="32"/>
      <c r="G61" s="28"/>
      <c r="H61" s="32"/>
      <c r="I61" s="28"/>
    </row>
    <row r="62">
      <c r="A62" s="39"/>
      <c r="B62" s="48"/>
      <c r="C62" s="32"/>
      <c r="D62" s="80"/>
      <c r="E62" s="80"/>
      <c r="F62" s="80"/>
      <c r="G62" s="80"/>
      <c r="H62" s="32"/>
      <c r="I62" s="28"/>
    </row>
    <row r="63">
      <c r="A63" s="39"/>
      <c r="B63" s="48"/>
      <c r="C63" s="32"/>
      <c r="D63" s="80"/>
      <c r="E63" s="80"/>
      <c r="F63" s="80"/>
      <c r="G63" s="80"/>
      <c r="H63" s="32"/>
      <c r="I63" s="28"/>
    </row>
  </sheetData>
  <mergeCells count="7">
    <mergeCell ref="C7:F7"/>
    <mergeCell ref="G7:H7"/>
    <mergeCell ref="I7:J7"/>
    <mergeCell ref="B2:J2"/>
    <mergeCell ref="G27:H27"/>
    <mergeCell ref="I27:J27"/>
    <mergeCell ref="C27:F2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 ht="82.5">
      <c r="B2" s="1" t="s">
        <v>53</v>
      </c>
      <c r="C2" s="2"/>
      <c r="D2" s="2"/>
      <c r="E2" s="2"/>
      <c r="F2" s="3"/>
    </row>
    <row r="4">
      <c r="B4" s="14" t="s">
        <v>26</v>
      </c>
      <c r="C4" s="177" t="str">
        <f>'Debt Round'!C5</f>
        <v>Guddan</v>
      </c>
      <c r="D4" s="54" t="str">
        <f>'Debt Round'!D5</f>
        <v>Laali</v>
      </c>
      <c r="E4" s="54" t="str">
        <f>'Debt Round'!E5</f>
        <v>Puttan</v>
      </c>
      <c r="F4" s="13" t="str">
        <f>'Debt Round'!F5</f>
        <v>Bankelal</v>
      </c>
    </row>
    <row r="5">
      <c r="B5" s="16" t="s">
        <v>27</v>
      </c>
      <c r="C5" s="178">
        <v>100000.0</v>
      </c>
      <c r="D5" s="178">
        <v>100000.0</v>
      </c>
      <c r="E5" s="178">
        <v>100000.0</v>
      </c>
      <c r="F5" s="179">
        <v>100000.0</v>
      </c>
    </row>
    <row r="6">
      <c r="B6" s="16" t="s">
        <v>28</v>
      </c>
      <c r="C6" s="58">
        <v>0.6</v>
      </c>
      <c r="D6" s="58">
        <f t="shared" ref="D6:F6" si="1">C6</f>
        <v>0.6</v>
      </c>
      <c r="E6" s="58">
        <f t="shared" si="1"/>
        <v>0.6</v>
      </c>
      <c r="F6" s="59">
        <f t="shared" si="1"/>
        <v>0.6</v>
      </c>
    </row>
    <row r="7">
      <c r="B7" s="18" t="s">
        <v>35</v>
      </c>
      <c r="C7" s="61">
        <f t="shared" ref="C7:F7" si="2">C5/(1-C6)</f>
        <v>250000</v>
      </c>
      <c r="D7" s="61">
        <f t="shared" si="2"/>
        <v>250000</v>
      </c>
      <c r="E7" s="61">
        <f t="shared" si="2"/>
        <v>250000</v>
      </c>
      <c r="F7" s="62">
        <f t="shared" si="2"/>
        <v>250000</v>
      </c>
    </row>
    <row r="8">
      <c r="B8" s="180"/>
      <c r="C8" s="65"/>
      <c r="D8" s="65"/>
      <c r="E8" s="65"/>
      <c r="F8" s="65"/>
    </row>
    <row r="9">
      <c r="B9" s="16" t="s">
        <v>10</v>
      </c>
      <c r="C9" s="84" t="str">
        <f>'Debt Round'!C5</f>
        <v>Guddan</v>
      </c>
      <c r="D9" s="84" t="str">
        <f>'Debt Round'!D5</f>
        <v>Laali</v>
      </c>
      <c r="E9" s="84" t="str">
        <f>'Debt Round'!E5</f>
        <v>Puttan</v>
      </c>
      <c r="F9" s="106" t="str">
        <f>'Debt Round'!F5</f>
        <v>Bankelal</v>
      </c>
    </row>
    <row r="10">
      <c r="B10" s="181">
        <v>1.0E7</v>
      </c>
      <c r="C10" s="182">
        <f t="shared" ref="C10:F10" si="3">C$7/$B10</f>
        <v>0.025</v>
      </c>
      <c r="D10" s="142">
        <f t="shared" si="3"/>
        <v>0.025</v>
      </c>
      <c r="E10" s="142">
        <f t="shared" si="3"/>
        <v>0.025</v>
      </c>
      <c r="F10" s="183">
        <f t="shared" si="3"/>
        <v>0.025</v>
      </c>
    </row>
    <row r="11">
      <c r="B11" s="181">
        <v>2.0E7</v>
      </c>
      <c r="C11" s="184">
        <f t="shared" ref="C11:F11" si="4">C$7/$B11</f>
        <v>0.0125</v>
      </c>
      <c r="D11" s="108">
        <f t="shared" si="4"/>
        <v>0.0125</v>
      </c>
      <c r="E11" s="108">
        <f t="shared" si="4"/>
        <v>0.0125</v>
      </c>
      <c r="F11" s="86">
        <f t="shared" si="4"/>
        <v>0.0125</v>
      </c>
    </row>
    <row r="12">
      <c r="B12" s="181">
        <v>3.0E7</v>
      </c>
      <c r="C12" s="184">
        <f t="shared" ref="C12:F12" si="5">C$7/$B12</f>
        <v>0.008333333333</v>
      </c>
      <c r="D12" s="108">
        <f t="shared" si="5"/>
        <v>0.008333333333</v>
      </c>
      <c r="E12" s="108">
        <f t="shared" si="5"/>
        <v>0.008333333333</v>
      </c>
      <c r="F12" s="86">
        <f t="shared" si="5"/>
        <v>0.008333333333</v>
      </c>
    </row>
    <row r="13">
      <c r="B13" s="181">
        <v>4.0E7</v>
      </c>
      <c r="C13" s="184">
        <f t="shared" ref="C13:F13" si="6">C$7/$B13</f>
        <v>0.00625</v>
      </c>
      <c r="D13" s="108">
        <f t="shared" si="6"/>
        <v>0.00625</v>
      </c>
      <c r="E13" s="108">
        <f t="shared" si="6"/>
        <v>0.00625</v>
      </c>
      <c r="F13" s="86">
        <f t="shared" si="6"/>
        <v>0.00625</v>
      </c>
    </row>
    <row r="14">
      <c r="B14" s="181">
        <v>5.0E7</v>
      </c>
      <c r="C14" s="184">
        <f t="shared" ref="C14:F14" si="7">C$7/$B14</f>
        <v>0.005</v>
      </c>
      <c r="D14" s="108">
        <f t="shared" si="7"/>
        <v>0.005</v>
      </c>
      <c r="E14" s="108">
        <f t="shared" si="7"/>
        <v>0.005</v>
      </c>
      <c r="F14" s="86">
        <f t="shared" si="7"/>
        <v>0.005</v>
      </c>
    </row>
    <row r="15">
      <c r="B15" s="181">
        <v>6.0E7</v>
      </c>
      <c r="C15" s="184">
        <f t="shared" ref="C15:F15" si="8">C$7/$B15</f>
        <v>0.004166666667</v>
      </c>
      <c r="D15" s="108">
        <f t="shared" si="8"/>
        <v>0.004166666667</v>
      </c>
      <c r="E15" s="108">
        <f t="shared" si="8"/>
        <v>0.004166666667</v>
      </c>
      <c r="F15" s="86">
        <f t="shared" si="8"/>
        <v>0.004166666667</v>
      </c>
    </row>
    <row r="16">
      <c r="B16" s="181">
        <v>7.0E7</v>
      </c>
      <c r="C16" s="184">
        <f t="shared" ref="C16:F16" si="9">C$7/$B16</f>
        <v>0.003571428571</v>
      </c>
      <c r="D16" s="108">
        <f t="shared" si="9"/>
        <v>0.003571428571</v>
      </c>
      <c r="E16" s="108">
        <f t="shared" si="9"/>
        <v>0.003571428571</v>
      </c>
      <c r="F16" s="86">
        <f t="shared" si="9"/>
        <v>0.003571428571</v>
      </c>
    </row>
    <row r="17">
      <c r="B17" s="181">
        <v>8.0E7</v>
      </c>
      <c r="C17" s="184">
        <f t="shared" ref="C17:F17" si="10">C$7/$B17</f>
        <v>0.003125</v>
      </c>
      <c r="D17" s="108">
        <f t="shared" si="10"/>
        <v>0.003125</v>
      </c>
      <c r="E17" s="108">
        <f t="shared" si="10"/>
        <v>0.003125</v>
      </c>
      <c r="F17" s="86">
        <f t="shared" si="10"/>
        <v>0.003125</v>
      </c>
    </row>
    <row r="18">
      <c r="B18" s="181">
        <v>9.0E7</v>
      </c>
      <c r="C18" s="184">
        <f t="shared" ref="C18:F18" si="11">C$7/$B18</f>
        <v>0.002777777778</v>
      </c>
      <c r="D18" s="108">
        <f t="shared" si="11"/>
        <v>0.002777777778</v>
      </c>
      <c r="E18" s="108">
        <f t="shared" si="11"/>
        <v>0.002777777778</v>
      </c>
      <c r="F18" s="86">
        <f t="shared" si="11"/>
        <v>0.002777777778</v>
      </c>
    </row>
    <row r="19">
      <c r="B19" s="181">
        <v>1.0E8</v>
      </c>
      <c r="C19" s="184">
        <f t="shared" ref="C19:F19" si="12">C$7/$B19</f>
        <v>0.0025</v>
      </c>
      <c r="D19" s="108">
        <f t="shared" si="12"/>
        <v>0.0025</v>
      </c>
      <c r="E19" s="108">
        <f t="shared" si="12"/>
        <v>0.0025</v>
      </c>
      <c r="F19" s="86">
        <f t="shared" si="12"/>
        <v>0.0025</v>
      </c>
    </row>
    <row r="20">
      <c r="B20" s="181">
        <v>1.1E8</v>
      </c>
      <c r="C20" s="184">
        <f t="shared" ref="C20:F20" si="13">C$7/$B20</f>
        <v>0.002272727273</v>
      </c>
      <c r="D20" s="108">
        <f t="shared" si="13"/>
        <v>0.002272727273</v>
      </c>
      <c r="E20" s="108">
        <f t="shared" si="13"/>
        <v>0.002272727273</v>
      </c>
      <c r="F20" s="86">
        <f t="shared" si="13"/>
        <v>0.002272727273</v>
      </c>
    </row>
    <row r="21">
      <c r="B21" s="181">
        <v>1.2E8</v>
      </c>
      <c r="C21" s="184">
        <f t="shared" ref="C21:F21" si="14">C$7/$B21</f>
        <v>0.002083333333</v>
      </c>
      <c r="D21" s="108">
        <f t="shared" si="14"/>
        <v>0.002083333333</v>
      </c>
      <c r="E21" s="108">
        <f t="shared" si="14"/>
        <v>0.002083333333</v>
      </c>
      <c r="F21" s="86">
        <f t="shared" si="14"/>
        <v>0.002083333333</v>
      </c>
    </row>
    <row r="22">
      <c r="B22" s="181">
        <v>1.3E8</v>
      </c>
      <c r="C22" s="184">
        <f t="shared" ref="C22:F22" si="15">C$7/$B22</f>
        <v>0.001923076923</v>
      </c>
      <c r="D22" s="108">
        <f t="shared" si="15"/>
        <v>0.001923076923</v>
      </c>
      <c r="E22" s="108">
        <f t="shared" si="15"/>
        <v>0.001923076923</v>
      </c>
      <c r="F22" s="86">
        <f t="shared" si="15"/>
        <v>0.001923076923</v>
      </c>
    </row>
    <row r="23">
      <c r="B23" s="181">
        <v>1.4E8</v>
      </c>
      <c r="C23" s="184">
        <f t="shared" ref="C23:F23" si="16">C$7/$B23</f>
        <v>0.001785714286</v>
      </c>
      <c r="D23" s="108">
        <f t="shared" si="16"/>
        <v>0.001785714286</v>
      </c>
      <c r="E23" s="108">
        <f t="shared" si="16"/>
        <v>0.001785714286</v>
      </c>
      <c r="F23" s="86">
        <f t="shared" si="16"/>
        <v>0.001785714286</v>
      </c>
    </row>
    <row r="24">
      <c r="B24" s="181">
        <v>1.5E8</v>
      </c>
      <c r="C24" s="191">
        <f t="shared" ref="C24:F24" si="17">C$7/$B24</f>
        <v>0.001666666667</v>
      </c>
      <c r="D24" s="93">
        <f t="shared" si="17"/>
        <v>0.001666666667</v>
      </c>
      <c r="E24" s="93">
        <f t="shared" si="17"/>
        <v>0.001666666667</v>
      </c>
      <c r="F24" s="94">
        <f t="shared" si="17"/>
        <v>0.001666666667</v>
      </c>
    </row>
    <row r="25">
      <c r="B25" s="180"/>
      <c r="C25" s="65"/>
      <c r="D25" s="65"/>
      <c r="E25" s="65"/>
      <c r="F25" s="65"/>
    </row>
    <row r="26">
      <c r="B26" s="16" t="s">
        <v>20</v>
      </c>
      <c r="C26" s="84" t="str">
        <f>'Debt Round'!C5</f>
        <v>Guddan</v>
      </c>
      <c r="D26" s="84" t="str">
        <f>'Debt Round'!D5</f>
        <v>Laali</v>
      </c>
      <c r="E26" s="84" t="str">
        <f>'Debt Round'!E5</f>
        <v>Puttan</v>
      </c>
      <c r="F26" s="106" t="str">
        <f>'Debt Round'!F5</f>
        <v>Bankelal</v>
      </c>
    </row>
    <row r="27">
      <c r="B27" s="181">
        <v>1.6E8</v>
      </c>
      <c r="C27" s="182">
        <f t="shared" ref="C27:F27" si="18">($B27-$B$24)/$B$24</f>
        <v>0.06666666667</v>
      </c>
      <c r="D27" s="142">
        <f t="shared" si="18"/>
        <v>0.06666666667</v>
      </c>
      <c r="E27" s="142">
        <f t="shared" si="18"/>
        <v>0.06666666667</v>
      </c>
      <c r="F27" s="183">
        <f t="shared" si="18"/>
        <v>0.06666666667</v>
      </c>
    </row>
    <row r="28">
      <c r="B28" s="181">
        <v>1.7E8</v>
      </c>
      <c r="C28" s="184">
        <f t="shared" ref="C28:F28" si="19">($B28-$B$24)/$B$24</f>
        <v>0.1333333333</v>
      </c>
      <c r="D28" s="108">
        <f t="shared" si="19"/>
        <v>0.1333333333</v>
      </c>
      <c r="E28" s="108">
        <f t="shared" si="19"/>
        <v>0.1333333333</v>
      </c>
      <c r="F28" s="86">
        <f t="shared" si="19"/>
        <v>0.1333333333</v>
      </c>
    </row>
    <row r="29">
      <c r="B29" s="181">
        <v>1.8E8</v>
      </c>
      <c r="C29" s="184">
        <f t="shared" ref="C29:F29" si="20">($B29-$B$24)/$B$24</f>
        <v>0.2</v>
      </c>
      <c r="D29" s="108">
        <f t="shared" si="20"/>
        <v>0.2</v>
      </c>
      <c r="E29" s="108">
        <f t="shared" si="20"/>
        <v>0.2</v>
      </c>
      <c r="F29" s="86">
        <f t="shared" si="20"/>
        <v>0.2</v>
      </c>
    </row>
    <row r="30">
      <c r="B30" s="181">
        <v>1.9E8</v>
      </c>
      <c r="C30" s="184">
        <f t="shared" ref="C30:F30" si="21">($B30-$B$24)/$B$24</f>
        <v>0.2666666667</v>
      </c>
      <c r="D30" s="108">
        <f t="shared" si="21"/>
        <v>0.2666666667</v>
      </c>
      <c r="E30" s="108">
        <f t="shared" si="21"/>
        <v>0.2666666667</v>
      </c>
      <c r="F30" s="86">
        <f t="shared" si="21"/>
        <v>0.2666666667</v>
      </c>
    </row>
    <row r="31">
      <c r="B31" s="181">
        <v>2.0E8</v>
      </c>
      <c r="C31" s="191">
        <f t="shared" ref="C31:F31" si="22">($B31-$B$24)/$B$24</f>
        <v>0.3333333333</v>
      </c>
      <c r="D31" s="93">
        <f t="shared" si="22"/>
        <v>0.3333333333</v>
      </c>
      <c r="E31" s="93">
        <f t="shared" si="22"/>
        <v>0.3333333333</v>
      </c>
      <c r="F31" s="94">
        <f t="shared" si="22"/>
        <v>0.3333333333</v>
      </c>
    </row>
    <row r="32">
      <c r="B32" s="180"/>
      <c r="C32" s="65"/>
      <c r="D32" s="65"/>
      <c r="E32" s="65"/>
      <c r="F32" s="65"/>
    </row>
    <row r="33">
      <c r="B33" s="16" t="s">
        <v>20</v>
      </c>
      <c r="C33" s="84" t="str">
        <f>'Debt Round'!C5</f>
        <v>Guddan</v>
      </c>
      <c r="D33" s="84" t="str">
        <f>'Debt Round'!D5</f>
        <v>Laali</v>
      </c>
      <c r="E33" s="84" t="str">
        <f>'Debt Round'!E5</f>
        <v>Puttan</v>
      </c>
      <c r="F33" s="106" t="str">
        <f>'Debt Round'!F5</f>
        <v>Bankelal</v>
      </c>
    </row>
    <row r="34">
      <c r="B34" s="181">
        <v>1.6E8</v>
      </c>
      <c r="C34" s="192">
        <f t="shared" ref="C34:F34" si="23">C$7*(1+C27)</f>
        <v>266666.6667</v>
      </c>
      <c r="D34" s="193">
        <f t="shared" si="23"/>
        <v>266666.6667</v>
      </c>
      <c r="E34" s="193">
        <f t="shared" si="23"/>
        <v>266666.6667</v>
      </c>
      <c r="F34" s="105">
        <f t="shared" si="23"/>
        <v>266666.6667</v>
      </c>
    </row>
    <row r="35">
      <c r="B35" s="181">
        <v>1.7E8</v>
      </c>
      <c r="C35" s="195">
        <f t="shared" ref="C35:F35" si="24">C$7*(1+C28)</f>
        <v>283333.3333</v>
      </c>
      <c r="D35" s="102">
        <f t="shared" si="24"/>
        <v>283333.3333</v>
      </c>
      <c r="E35" s="102">
        <f t="shared" si="24"/>
        <v>283333.3333</v>
      </c>
      <c r="F35" s="101">
        <f t="shared" si="24"/>
        <v>283333.3333</v>
      </c>
    </row>
    <row r="36">
      <c r="B36" s="181">
        <v>1.8E8</v>
      </c>
      <c r="C36" s="195">
        <f t="shared" ref="C36:F36" si="25">C$7*(1+C29)</f>
        <v>300000</v>
      </c>
      <c r="D36" s="102">
        <f t="shared" si="25"/>
        <v>300000</v>
      </c>
      <c r="E36" s="102">
        <f t="shared" si="25"/>
        <v>300000</v>
      </c>
      <c r="F36" s="101">
        <f t="shared" si="25"/>
        <v>300000</v>
      </c>
    </row>
    <row r="37">
      <c r="B37" s="181">
        <v>1.9E8</v>
      </c>
      <c r="C37" s="195">
        <f t="shared" ref="C37:F37" si="26">C$7*(1+C30)</f>
        <v>316666.6667</v>
      </c>
      <c r="D37" s="102">
        <f t="shared" si="26"/>
        <v>316666.6667</v>
      </c>
      <c r="E37" s="102">
        <f t="shared" si="26"/>
        <v>316666.6667</v>
      </c>
      <c r="F37" s="101">
        <f t="shared" si="26"/>
        <v>316666.6667</v>
      </c>
    </row>
    <row r="38">
      <c r="B38" s="197">
        <v>2.0E8</v>
      </c>
      <c r="C38" s="198">
        <f t="shared" ref="C38:F38" si="27">C$7*(1+C31)</f>
        <v>333333.3333</v>
      </c>
      <c r="D38" s="61">
        <f t="shared" si="27"/>
        <v>333333.3333</v>
      </c>
      <c r="E38" s="61">
        <f t="shared" si="27"/>
        <v>333333.3333</v>
      </c>
      <c r="F38" s="62">
        <f t="shared" si="27"/>
        <v>333333.3333</v>
      </c>
    </row>
  </sheetData>
  <mergeCells count="1">
    <mergeCell ref="B2:F2"/>
  </mergeCells>
  <drawing r:id="rId1"/>
</worksheet>
</file>