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naming convention" sheetId="2" r:id="rId5"/>
    <sheet state="visible" name="signOfHIETone" sheetId="3" r:id="rId6"/>
    <sheet state="visible" name="signOfHIELvlOfCons" sheetId="4" r:id="rId7"/>
    <sheet state="visible" name="signOfHIEPosture" sheetId="5" r:id="rId8"/>
    <sheet state="visible" name="signOfHIEMoro" sheetId="6" r:id="rId9"/>
    <sheet state="visible" name="signOfHIESuck" sheetId="7" r:id="rId10"/>
    <sheet state="visible" name="signOfHIERespiratory" sheetId="8" r:id="rId11"/>
    <sheet state="visible" name="signOfHIEHeartRate" sheetId="9" r:id="rId12"/>
    <sheet state="visible" name="signOfHIEPupils" sheetId="10" r:id="rId13"/>
    <sheet state="visible" name="signOfHIESpontaneousActivity" sheetId="11" r:id="rId14"/>
    <sheet state="visible" name="noNeuroExamReason" sheetId="12" r:id="rId15"/>
    <sheet state="visible" name="consentStatus" sheetId="13" r:id="rId16"/>
    <sheet state="visible" name="treatmentAssign" sheetId="14" r:id="rId17"/>
    <sheet state="visible" name="targetTreatmentTemperature" sheetId="15" r:id="rId18"/>
    <sheet state="visible" name="blanketType" sheetId="16" r:id="rId19"/>
    <sheet state="visible" name="encephalopathyLevel" sheetId="17" r:id="rId20"/>
    <sheet state="visible" name="infantAge" sheetId="18" r:id="rId21"/>
    <sheet state="visible" name="infantSex" sheetId="19" r:id="rId22"/>
    <sheet state="visible" name="ethnicity" sheetId="20" r:id="rId23"/>
    <sheet state="visible" name="education" sheetId="21" r:id="rId24"/>
    <sheet state="visible" name="insurance" sheetId="22" r:id="rId25"/>
    <sheet state="visible" name="race" sheetId="23" r:id="rId26"/>
    <sheet state="visible" name="maritalStatus" sheetId="24" r:id="rId27"/>
    <sheet state="visible" name="deliveryMode" sheetId="25" r:id="rId28"/>
    <sheet state="visible" name="spontaneousRespirationTime" sheetId="26" r:id="rId29"/>
    <sheet state="visible" name="cordBloodGasSrc" sheetId="27" r:id="rId30"/>
    <sheet state="visible" name="bloodGasSrc" sheetId="28" r:id="rId31"/>
    <sheet state="visible" name="antibiotics" sheetId="29" r:id="rId32"/>
    <sheet state="visible" name="positiveCultureOrganism" sheetId="30" r:id="rId33"/>
    <sheet state="visible" name="positiveCultureSrc" sheetId="31" r:id="rId34"/>
    <sheet state="visible" name="surgery" sheetId="32" r:id="rId35"/>
    <sheet state="visible" name="birthDefect" sheetId="33" r:id="rId36"/>
    <sheet state="visible" name="anticonvulsants" sheetId="34" r:id="rId37"/>
    <sheet state="visible" name="analgesics" sheetId="35" r:id="rId38"/>
    <sheet state="visible" name="antipyretics" sheetId="36" r:id="rId39"/>
    <sheet state="visible" name="paralytics" sheetId="37" r:id="rId40"/>
    <sheet state="visible" name="respiratorySupportType" sheetId="38" r:id="rId41"/>
    <sheet state="visible" name="coolAfterIntervention" sheetId="39" r:id="rId42"/>
    <sheet state="visible" name="noCoolToEndPeriodReason" sheetId="40" r:id="rId43"/>
    <sheet state="visible" name="imaging" sheetId="41" r:id="rId44"/>
    <sheet state="visible" name="MRIReader" sheetId="42" r:id="rId45"/>
    <sheet state="visible" name="MRIObtainWindow" sheetId="43" r:id="rId46"/>
    <sheet state="visible" name="MRINoObtainReason" sheetId="44" r:id="rId47"/>
    <sheet state="visible" name="MRICerebralAtrophyGlobalLocal" sheetId="45" r:id="rId48"/>
    <sheet state="visible" name="MRICerebralAtrophyRegion" sheetId="46" r:id="rId49"/>
    <sheet state="visible" name="MRISeverity" sheetId="47" r:id="rId50"/>
    <sheet state="visible" name="MRIALICPLICSeverity" sheetId="48" r:id="rId51"/>
    <sheet state="visible" name="MRIInjurySeverity" sheetId="49" r:id="rId52"/>
    <sheet state="visible" name="MRINRNPatternOfInjury" sheetId="50" r:id="rId53"/>
    <sheet state="visible" name="MRINRNPatternOfInjuryExtent" sheetId="51" r:id="rId54"/>
    <sheet state="visible" name="MRINRNPatternOfInjuryLateral" sheetId="52" r:id="rId55"/>
    <sheet state="visible" name="MRIAbnormalRegion" sheetId="53" r:id="rId56"/>
    <sheet state="visible" name="MRIAbnormalSide" sheetId="54" r:id="rId57"/>
    <sheet state="visible" name="MRIAbnormalGMWM" sheetId="55" r:id="rId58"/>
    <sheet state="visible" name="MRIAbnormalExtent" sheetId="56" r:id="rId59"/>
    <sheet state="visible" name="MRIAbnormalType" sheetId="57" r:id="rId60"/>
    <sheet state="visible" name="elevatedTempDevice" sheetId="58" r:id="rId61"/>
    <sheet state="visible" name="elevatedTempDeviceMode" sheetId="59" r:id="rId62"/>
    <sheet state="visible" name="elevatedTempNoBathReason" sheetId="60" r:id="rId63"/>
    <sheet state="visible" name="bradycardiaEKGResult" sheetId="61" r:id="rId64"/>
    <sheet state="visible" name="bradycardiaDuration" sheetId="62" r:id="rId65"/>
    <sheet state="visible" name="bradycardiaHeartRateMin" sheetId="63" r:id="rId66"/>
    <sheet state="visible" name="SAEAlterationSkinIntegrity" sheetId="64" r:id="rId67"/>
    <sheet state="visible" name="SAEAttributable" sheetId="65" r:id="rId68"/>
    <sheet state="visible" name="SAEAction" sheetId="66" r:id="rId69"/>
    <sheet state="visible" name="SAEOutcome" sheetId="67" r:id="rId70"/>
    <sheet state="visible" name="deathCause" sheetId="68" r:id="rId71"/>
    <sheet state="visible" name="deathSrc" sheetId="69" r:id="rId72"/>
    <sheet state="visible" name="experimentStatus" sheetId="70" r:id="rId73"/>
    <sheet state="visible" name="status" sheetId="71" r:id="rId74"/>
    <sheet state="visible" name="transferReason" sheetId="72" r:id="rId75"/>
    <sheet state="visible" name="transferOutcome" sheetId="73" r:id="rId76"/>
    <sheet state="visible" name="dischargeNeuroExamStatus" sheetId="74" r:id="rId77"/>
    <sheet state="visible" name="violationCircumstance" sheetId="75" r:id="rId78"/>
    <sheet state="visible" name="violationNature" sheetId="76" r:id="rId79"/>
    <sheet state="visible" name="interruptReason" sheetId="77" r:id="rId80"/>
    <sheet state="visible" name="relationship" sheetId="78" r:id="rId81"/>
    <sheet state="visible" name="receive" sheetId="79" r:id="rId82"/>
    <sheet state="visible" name="totalIncome" sheetId="80" r:id="rId83"/>
    <sheet state="visible" name="language" sheetId="81" r:id="rId84"/>
    <sheet state="visible" name="homeCareLocation" sheetId="82" r:id="rId85"/>
    <sheet state="visible" name="babysitterRelation" sheetId="83" r:id="rId86"/>
    <sheet state="visible" name="interviewLocation" sheetId="84" r:id="rId87"/>
    <sheet state="visible" name="livingArrange" sheetId="85" r:id="rId88"/>
    <sheet state="visible" name="medicationUse" sheetId="86" r:id="rId89"/>
    <sheet state="visible" name="eyeSurgeryReason" sheetId="87" r:id="rId90"/>
    <sheet state="visible" name="readmissionTimePeriod" sheetId="88" r:id="rId91"/>
    <sheet state="visible" name="readmissionLengthOfStay" sheetId="89" r:id="rId92"/>
    <sheet state="visible" name="readmissionPrimaryCause" sheetId="90" r:id="rId93"/>
    <sheet state="visible" name="eye" sheetId="91" r:id="rId94"/>
    <sheet state="visible" name="vision" sheetId="92" r:id="rId95"/>
    <sheet state="visible" name="hearing" sheetId="93" r:id="rId96"/>
    <sheet state="visible" name="hearingImpaired" sheetId="94" r:id="rId97"/>
    <sheet state="visible" name="hearingAid" sheetId="95" r:id="rId98"/>
    <sheet state="visible" name="swallow" sheetId="96" r:id="rId99"/>
    <sheet state="visible" name="passiveMuscleTone" sheetId="97" r:id="rId100"/>
    <sheet state="visible" name="grossMotorFunctionLevel" sheetId="98" r:id="rId101"/>
    <sheet state="visible" name="handPreference" sheetId="99" r:id="rId102"/>
    <sheet state="visible" name="protectiveReaction" sheetId="100" r:id="rId103"/>
    <sheet state="visible" name="limbMovement" sheetId="101" r:id="rId104"/>
    <sheet state="visible" name="deepTendonReflex" sheetId="102" r:id="rId105"/>
    <sheet state="visible" name="ankleClonus" sheetId="103" r:id="rId106"/>
    <sheet state="visible" name="plantarReflex" sheetId="104" r:id="rId107"/>
    <sheet state="visible" name="axisHeadNeck" sheetId="105" r:id="rId108"/>
    <sheet state="visible" name="axisTrunk" sheetId="106" r:id="rId109"/>
    <sheet state="visible" name="lowerLimbFunction" sheetId="107" r:id="rId110"/>
    <sheet state="visible" name="upperLimbFunction" sheetId="108" r:id="rId111"/>
    <sheet state="visible" name="handFunction" sheetId="109" r:id="rId112"/>
    <sheet state="visible" name="cerebralPalsyClass" sheetId="110" r:id="rId113"/>
    <sheet state="visible" name="examQuality" sheetId="111" r:id="rId114"/>
    <sheet state="visible" name="examFactorAffecting" sheetId="112" r:id="rId115"/>
    <sheet state="visible" name="BayleyIIIReasonNoSuccess" sheetId="113" r:id="rId116"/>
    <sheet state="visible" name="followupStatus" sheetId="114" r:id="rId117"/>
    <sheet state="visible" name="severity" sheetId="115" r:id="rId118"/>
    <sheet state="visible" name="reasonLossFollowUp" sheetId="116" r:id="rId119"/>
    <sheet state="visible" name="childHealth" sheetId="117" r:id="rId120"/>
    <sheet state="visible" name="chartReview" sheetId="118" r:id="rId121"/>
    <sheet state="visible" name="education2" sheetId="119" r:id="rId122"/>
    <sheet state="visible" name="race2" sheetId="120" r:id="rId123"/>
    <sheet state="visible" name="flagAdjudicatedOutcome" sheetId="121" r:id="rId124"/>
    <sheet state="visible" name="MRILesion" sheetId="122" r:id="rId125"/>
    <sheet state="visible" name="MRI2LevelPatternOfInjury" sheetId="123" r:id="rId126"/>
    <sheet state="visible" name="MRIOverallDiagnosis" sheetId="124" r:id="rId127"/>
    <sheet state="visible" name="MRINRNPatternOfInjuryWSvsBGT" sheetId="125" r:id="rId128"/>
    <sheet state="visible" name="outcomeGroup" sheetId="126" r:id="rId129"/>
    <sheet state="visible" name="initBloodGasSrc" sheetId="127" r:id="rId130"/>
  </sheets>
  <definedNames/>
  <calcPr/>
</workbook>
</file>

<file path=xl/sharedStrings.xml><?xml version="1.0" encoding="utf-8"?>
<sst xmlns="http://schemas.openxmlformats.org/spreadsheetml/2006/main" count="13041" uniqueCount="7176">
  <si>
    <t>Category</t>
  </si>
  <si>
    <t>Subcategory</t>
  </si>
  <si>
    <t>Standardized_VariableNames_Dictionary</t>
  </si>
  <si>
    <t>type</t>
  </si>
  <si>
    <t>Variable_Description</t>
  </si>
  <si>
    <t>#studies w/ this var</t>
  </si>
  <si>
    <t>redcap</t>
  </si>
  <si>
    <t>comment</t>
  </si>
  <si>
    <t>lower_var</t>
  </si>
  <si>
    <t>var_eq_redcap</t>
  </si>
  <si>
    <t>connect_redcap</t>
  </si>
  <si>
    <t>LH</t>
  </si>
  <si>
    <t>OC</t>
  </si>
  <si>
    <t>Pre-intervention</t>
  </si>
  <si>
    <t>Identity</t>
  </si>
  <si>
    <t>center</t>
  </si>
  <si>
    <t>Center:</t>
  </si>
  <si>
    <t>CENTER</t>
  </si>
  <si>
    <t>subjectID</t>
  </si>
  <si>
    <t>text</t>
  </si>
  <si>
    <t>Hypothermia ID (study id)</t>
  </si>
  <si>
    <t>subject_id</t>
  </si>
  <si>
    <t>HTHRM_ID</t>
  </si>
  <si>
    <t>Screening</t>
  </si>
  <si>
    <t>siteID</t>
  </si>
  <si>
    <t>Site number</t>
  </si>
  <si>
    <t>site_id</t>
  </si>
  <si>
    <t>SITENM</t>
  </si>
  <si>
    <t>birthDate</t>
  </si>
  <si>
    <t>date</t>
  </si>
  <si>
    <t>birth date</t>
  </si>
  <si>
    <t>birth_date</t>
  </si>
  <si>
    <t>BIRTHDT</t>
  </si>
  <si>
    <t>birthNumber</t>
  </si>
  <si>
    <t>int</t>
  </si>
  <si>
    <t>birth number</t>
  </si>
  <si>
    <t>birth_number</t>
  </si>
  <si>
    <t>BIRTHNM</t>
  </si>
  <si>
    <t>screenComment</t>
  </si>
  <si>
    <t>Screening Comments</t>
  </si>
  <si>
    <t>screen_comment</t>
  </si>
  <si>
    <t>COMMENT</t>
  </si>
  <si>
    <t>coreTempLess32p5CGreaterEq2Hr_e</t>
  </si>
  <si>
    <t>bool</t>
  </si>
  <si>
    <t>Core temperature &lt; 32.5°C for &gt;= two hours at time of randomization?</t>
  </si>
  <si>
    <t>core_temp_less32p5c_greater_eq2hr_e</t>
  </si>
  <si>
    <t>OC2TMP2</t>
  </si>
  <si>
    <t>coreTempLess33p5CGreater1Hr_e</t>
  </si>
  <si>
    <t>Core temperature &lt; 33.5C for &gt; one hour at time of screening?</t>
  </si>
  <si>
    <t>core_temp_less33p5c_greater1hr_e</t>
  </si>
  <si>
    <t>OC2TEMP</t>
  </si>
  <si>
    <t>coreTempLess34CGreater1Hr_e</t>
  </si>
  <si>
    <t>Core temperature &lt; 34C for &gt; one hour at time of screening?</t>
  </si>
  <si>
    <t>core_temp_less34c_greater1hr_e</t>
  </si>
  <si>
    <t>LH2TEMP</t>
  </si>
  <si>
    <t>first6HrCoolByClinicalProtocol_e</t>
  </si>
  <si>
    <t>Was patient cooled using clinical protocol at &lt;6hrs? (Unable to randomize infant by 6 hrs of age)</t>
  </si>
  <si>
    <t>first6hr_cool_by_clinical_protocol_e</t>
  </si>
  <si>
    <t>LH2COOLD</t>
  </si>
  <si>
    <t>OC2NORAN</t>
  </si>
  <si>
    <t>chromosomalAbnormality_e</t>
  </si>
  <si>
    <t>Chromosomal abnormality?</t>
  </si>
  <si>
    <t>chromosomal_abnormality_e</t>
  </si>
  <si>
    <t>LH2CHROM</t>
  </si>
  <si>
    <t>OC2CHROM</t>
  </si>
  <si>
    <t>majorCongenitalAnomaly_e</t>
  </si>
  <si>
    <t>Major congenital anomaly?</t>
  </si>
  <si>
    <t>major_congenital_anomaly_e</t>
  </si>
  <si>
    <t>LH2CNGEN</t>
  </si>
  <si>
    <t>OC2CNGEN</t>
  </si>
  <si>
    <t>birthWeightLessEq1800g_e</t>
  </si>
  <si>
    <t>Birth weight ≤1800g?</t>
  </si>
  <si>
    <t>birth_weight_less_eq1800g_e</t>
  </si>
  <si>
    <t>LH2WGHT</t>
  </si>
  <si>
    <t>OC2WGHT</t>
  </si>
  <si>
    <t>infantUnlikelySurvive_e</t>
  </si>
  <si>
    <t>Infant unlikely to survive?</t>
  </si>
  <si>
    <t>infant_unlikely_survive_e</t>
  </si>
  <si>
    <t>LH2SURV</t>
  </si>
  <si>
    <t>OC2SURV</t>
  </si>
  <si>
    <t>first60MinAllBloodGasPHGreater7p15BaseDeficitLess10mEqPerL_e</t>
  </si>
  <si>
    <t>ALL blood gases (cord, postnatal) done within the first 60 minutes had a pH &gt;7.15 AND a base deficit &lt;10 mEq/L (source can be arterial, venous, or capillary)?</t>
  </si>
  <si>
    <t>first60min_all_blood_gas_ph_greater7p15base_deficit_less10meqperl_e</t>
  </si>
  <si>
    <t>LH2ALLBG</t>
  </si>
  <si>
    <t>OC2ALLBG</t>
  </si>
  <si>
    <t>postnatalAgeLess6HrOrGreater24Hr_e</t>
  </si>
  <si>
    <t>Postnatal age &lt; 6 hours or &gt; 24 hours</t>
  </si>
  <si>
    <t>postnatal_age_less6hr_or_greater24hr_e</t>
  </si>
  <si>
    <t>LH2POSTN</t>
  </si>
  <si>
    <t>enrolledConflictingTrial_e</t>
  </si>
  <si>
    <t>Exclusion criteria: Enrolled in conflicting trial</t>
  </si>
  <si>
    <t>enrolled_conflicting_trial_e</t>
  </si>
  <si>
    <t>LH2CNFCT</t>
  </si>
  <si>
    <t>first60MinAnyBloodGasPHLessEq7_i</t>
  </si>
  <si>
    <t>ANY blood gas (cord, postnatal) done within the first 60 minutes had a pH ≤7.0 (source can be arterial, venous, or capillary)?</t>
  </si>
  <si>
    <t>first60min_any_blood_gas_ph_less_eq7_i</t>
  </si>
  <si>
    <t>LH2PH</t>
  </si>
  <si>
    <t>OC2PH</t>
  </si>
  <si>
    <t>first60MinAnyBloodGasBaseDeficitGreaterEq16mEqPerL_i</t>
  </si>
  <si>
    <t>ANY blood gas (cord, postnatal) done within the first 60 minutes had a base deficit ≥16 mEq/L (source can be arterial, venous, or capillary)?</t>
  </si>
  <si>
    <t>first60min_any_blood_gas_base_deficit_greater_eq16meqperl_i</t>
  </si>
  <si>
    <t>LH2DEFIC</t>
  </si>
  <si>
    <t>OC2DEFIC</t>
  </si>
  <si>
    <t>historyPerinatalEvent_i</t>
  </si>
  <si>
    <t>History of perinatal event?</t>
  </si>
  <si>
    <t>history_perinatal_event_i</t>
  </si>
  <si>
    <t>LH2HIST</t>
  </si>
  <si>
    <t>OC2HIST</t>
  </si>
  <si>
    <t>at10MinApgarLessEq5OrVent_i</t>
  </si>
  <si>
    <t>Apgar at 10 minutes ≤ 5 or continued need for ventilatory support at 10 minutes?</t>
  </si>
  <si>
    <t>at10min_apgar_less_eq5_or_vent_i</t>
  </si>
  <si>
    <t>LH2APGA</t>
  </si>
  <si>
    <t>OC2APGA</t>
  </si>
  <si>
    <t>randomEligible</t>
  </si>
  <si>
    <t>Infant eligible for randomization</t>
  </si>
  <si>
    <t>random_eligible</t>
  </si>
  <si>
    <t>OC2ELIG</t>
  </si>
  <si>
    <t>consentStatus</t>
  </si>
  <si>
    <t>Consent Status</t>
  </si>
  <si>
    <t>consent_status</t>
  </si>
  <si>
    <t>LH2CONS</t>
  </si>
  <si>
    <t>OC2CONS</t>
  </si>
  <si>
    <t>noConsentReason</t>
  </si>
  <si>
    <t>Reason consent not requested, state</t>
  </si>
  <si>
    <t>no_consent_reason</t>
  </si>
  <si>
    <t>LH2REAS</t>
  </si>
  <si>
    <t>OC2REAS</t>
  </si>
  <si>
    <t>noInStudyReason</t>
  </si>
  <si>
    <t>Reason patient not entered in study, but consented and was eligible, state:</t>
  </si>
  <si>
    <t>no_in_study_reason</t>
  </si>
  <si>
    <t>LH2CONSP</t>
  </si>
  <si>
    <t>random</t>
  </si>
  <si>
    <t>Was the infant randomized</t>
  </si>
  <si>
    <t>OC2RAND</t>
  </si>
  <si>
    <t>noRandomReason</t>
  </si>
  <si>
    <t>infant not randomized-reason</t>
  </si>
  <si>
    <t>no_random_reason</t>
  </si>
  <si>
    <t>OC2NRREA</t>
  </si>
  <si>
    <t>noRandomReasonText</t>
  </si>
  <si>
    <t>infant not randomized-reason specify</t>
  </si>
  <si>
    <t>no_random_reason_text</t>
  </si>
  <si>
    <t>OC2NRRES</t>
  </si>
  <si>
    <t>randomDate</t>
  </si>
  <si>
    <t>Date of Randomization</t>
  </si>
  <si>
    <t>random_date</t>
  </si>
  <si>
    <t>LH2RANDT</t>
  </si>
  <si>
    <t>OC2RANDT</t>
  </si>
  <si>
    <t>randomTime</t>
  </si>
  <si>
    <t>time</t>
  </si>
  <si>
    <t>Time of Randomization (24hr)</t>
  </si>
  <si>
    <t>random_time</t>
  </si>
  <si>
    <t>LH2RANTM</t>
  </si>
  <si>
    <t>OC2RANTM</t>
  </si>
  <si>
    <t>ageRand_hr</t>
  </si>
  <si>
    <t>float</t>
  </si>
  <si>
    <t>Age at randomization (hours)</t>
  </si>
  <si>
    <t>age_rand_hr</t>
  </si>
  <si>
    <t>age_rand</t>
  </si>
  <si>
    <t>randomNumber</t>
  </si>
  <si>
    <t>Randomization Number</t>
  </si>
  <si>
    <t>random_number</t>
  </si>
  <si>
    <t>LH2RANNM</t>
  </si>
  <si>
    <t>OC2RANNM</t>
  </si>
  <si>
    <t>randomTreatmentAssign</t>
  </si>
  <si>
    <t>treatmentAssign</t>
  </si>
  <si>
    <t>Treatment assignment / Randomization Assignment</t>
  </si>
  <si>
    <t>random_treatment_assign</t>
  </si>
  <si>
    <t>L6TRTMT</t>
  </si>
  <si>
    <t>OC2RANNA</t>
  </si>
  <si>
    <t>randomTreatmentReceive</t>
  </si>
  <si>
    <t>Once randomized, treatment received</t>
  </si>
  <si>
    <t>random_treatment_receive</t>
  </si>
  <si>
    <t>OC2RTRTM</t>
  </si>
  <si>
    <t>treatmentBlanketType</t>
  </si>
  <si>
    <t>blanketType</t>
  </si>
  <si>
    <t>treatment - Blanket Type</t>
  </si>
  <si>
    <t>treatment_blanket_type</t>
  </si>
  <si>
    <t>OC2BYYPE</t>
  </si>
  <si>
    <t>treatmentAssignmentDuration_hr</t>
  </si>
  <si>
    <t>Marginal treatment group: duration</t>
  </si>
  <si>
    <t>treatment_assignment_duration_hr</t>
  </si>
  <si>
    <t>trt_dur</t>
  </si>
  <si>
    <t>treatmentAssignmentTemperature</t>
  </si>
  <si>
    <t>Marginal treatment group: temperature</t>
  </si>
  <si>
    <t>treatment_assignment_temperature</t>
  </si>
  <si>
    <t>trt_temp</t>
  </si>
  <si>
    <t>usualCoolingTreatmentGroup</t>
  </si>
  <si>
    <t>Usual cooling treatment group</t>
  </si>
  <si>
    <t>usual_cooling_treatment_group</t>
  </si>
  <si>
    <t>usualc</t>
  </si>
  <si>
    <t>inOtherTrial</t>
  </si>
  <si>
    <t>Participation in other interventional trial?</t>
  </si>
  <si>
    <t>in_other_trial</t>
  </si>
  <si>
    <t>LH13PART</t>
  </si>
  <si>
    <t>OC13POIT</t>
  </si>
  <si>
    <t>inOtherTrialText</t>
  </si>
  <si>
    <t>Specify other intervention trial</t>
  </si>
  <si>
    <t>in_other_trial_text</t>
  </si>
  <si>
    <t>LH13PTSP</t>
  </si>
  <si>
    <t>OC13POIS</t>
  </si>
  <si>
    <t>consideredForHypothermia</t>
  </si>
  <si>
    <t xml:space="preserve">Infant considered for cooling? </t>
  </si>
  <si>
    <t>considered_for_hypothermia</t>
  </si>
  <si>
    <t>hypothermia</t>
  </si>
  <si>
    <t>If the patient received therapeutic hypothermia</t>
  </si>
  <si>
    <t>noHypothermiaReason</t>
  </si>
  <si>
    <t>If therapeutic hypothermia not initiated, why?</t>
  </si>
  <si>
    <t>no_hypothermia_reason</t>
  </si>
  <si>
    <t>noHypothermiaReasonOther</t>
  </si>
  <si>
    <t>Specify other reason why TH not initiated</t>
  </si>
  <si>
    <t>no_hypothermia_reason_other</t>
  </si>
  <si>
    <t>hypothermiaStandard</t>
  </si>
  <si>
    <t>Within standard cooling guidelines?</t>
  </si>
  <si>
    <t>hypothermia_standard</t>
  </si>
  <si>
    <t>hypothermiaDeviationOther</t>
  </si>
  <si>
    <t>Specify other</t>
  </si>
  <si>
    <t>hypothermia_deviation_other</t>
  </si>
  <si>
    <t>Maternal Demographics</t>
  </si>
  <si>
    <t>motherAge_year</t>
  </si>
  <si>
    <t>Mother age (years)</t>
  </si>
  <si>
    <t>mother_age_year</t>
  </si>
  <si>
    <t>LH4MAGE</t>
  </si>
  <si>
    <t>OC4MAGE</t>
  </si>
  <si>
    <t>motherRace</t>
  </si>
  <si>
    <t>race</t>
  </si>
  <si>
    <t>Mother race</t>
  </si>
  <si>
    <t>mother_race</t>
  </si>
  <si>
    <t>LH4MRACE</t>
  </si>
  <si>
    <t>OC4RACE</t>
  </si>
  <si>
    <t>motherRaceOther1</t>
  </si>
  <si>
    <t>Mother race Other Race-1</t>
  </si>
  <si>
    <t>mother_race_other1</t>
  </si>
  <si>
    <t>LH4ORAC1</t>
  </si>
  <si>
    <t>OC4RAC1</t>
  </si>
  <si>
    <t>motherRaceOther2</t>
  </si>
  <si>
    <t>Mother race Other Race-2</t>
  </si>
  <si>
    <t>mother_race_other2</t>
  </si>
  <si>
    <t>LH4ORAC2</t>
  </si>
  <si>
    <t>OC4RAC2</t>
  </si>
  <si>
    <t>motherRaceOther3</t>
  </si>
  <si>
    <t>Mother race Other Race-3</t>
  </si>
  <si>
    <t>mother_race_other3</t>
  </si>
  <si>
    <t>LH4ORAC3</t>
  </si>
  <si>
    <t>OC4RAC3</t>
  </si>
  <si>
    <t>motherRaceOther4</t>
  </si>
  <si>
    <t>Mother race Other Race-4</t>
  </si>
  <si>
    <t>mother_race_other4</t>
  </si>
  <si>
    <t>LH4ORAC4</t>
  </si>
  <si>
    <t>OC4RAC4</t>
  </si>
  <si>
    <t>motherRaceOther5</t>
  </si>
  <si>
    <t>Mother race Other Race-5</t>
  </si>
  <si>
    <t>mother_race_other5</t>
  </si>
  <si>
    <t>OC4RAC5</t>
  </si>
  <si>
    <t>motherRaceOther6</t>
  </si>
  <si>
    <t>Mother race Other Race-6</t>
  </si>
  <si>
    <t>mother_race_other6</t>
  </si>
  <si>
    <t>OC4RAC6</t>
  </si>
  <si>
    <t>motherRace2</t>
  </si>
  <si>
    <t>race2</t>
  </si>
  <si>
    <t>Mother’s race: Black, White, Other</t>
  </si>
  <si>
    <t>mother_race2</t>
  </si>
  <si>
    <t>motherEthnicity</t>
  </si>
  <si>
    <t>ethnicity</t>
  </si>
  <si>
    <t>Ethnic categories</t>
  </si>
  <si>
    <t>mother_ethnicity</t>
  </si>
  <si>
    <t>LH4ETHNI</t>
  </si>
  <si>
    <t>OC4ETHN</t>
  </si>
  <si>
    <t>motherMaritalStatus</t>
  </si>
  <si>
    <t>maritalStatus</t>
  </si>
  <si>
    <t>Marital status (mother)</t>
  </si>
  <si>
    <t>mother_marital_status</t>
  </si>
  <si>
    <t>LH4MSTAT</t>
  </si>
  <si>
    <t>OC4MSTA</t>
  </si>
  <si>
    <t>motherEducation</t>
  </si>
  <si>
    <t>education</t>
  </si>
  <si>
    <t>Educational status (check highest level)</t>
  </si>
  <si>
    <t>mother_education</t>
  </si>
  <si>
    <t>LH4EDUC</t>
  </si>
  <si>
    <t>OC4EDUC</t>
  </si>
  <si>
    <t>motherEducation2</t>
  </si>
  <si>
    <t>education2</t>
  </si>
  <si>
    <t>Maternal education: &lt;HS, HS degree, &gt; HS</t>
  </si>
  <si>
    <t>mother_education2</t>
  </si>
  <si>
    <t>mom_ed</t>
  </si>
  <si>
    <t>motherInsurance</t>
  </si>
  <si>
    <t>insurance</t>
  </si>
  <si>
    <t>Mother's Medical Insurance</t>
  </si>
  <si>
    <t>mother_insurance</t>
  </si>
  <si>
    <t>OC4MDINS</t>
  </si>
  <si>
    <t>motherInsurancePublic</t>
  </si>
  <si>
    <t>Mother’s medical insurance Public (Medicaid)</t>
  </si>
  <si>
    <t>mother_insurance_public</t>
  </si>
  <si>
    <t>public</t>
  </si>
  <si>
    <t>Pregnancy History</t>
  </si>
  <si>
    <t>gravida</t>
  </si>
  <si>
    <t>Gravida (total number of pregnancies the mother has had)</t>
  </si>
  <si>
    <t>LH4GRAV</t>
  </si>
  <si>
    <t>OC4FRAV</t>
  </si>
  <si>
    <t>parity</t>
  </si>
  <si>
    <t>Parity (the number of times the mother has given birth to a live neonate)</t>
  </si>
  <si>
    <t>LH4PARI</t>
  </si>
  <si>
    <t>OC4PARI</t>
  </si>
  <si>
    <t>multipleBirth</t>
  </si>
  <si>
    <t>Multiple births?</t>
  </si>
  <si>
    <t>multiple_birth</t>
  </si>
  <si>
    <t>LH4MBRT</t>
  </si>
  <si>
    <t>OC4MBIR</t>
  </si>
  <si>
    <t>numFetus</t>
  </si>
  <si>
    <t>Number of fetuses</t>
  </si>
  <si>
    <t>num_fetus</t>
  </si>
  <si>
    <t>LH4FNUM</t>
  </si>
  <si>
    <t>OC4NFET</t>
  </si>
  <si>
    <t>prenatalCare</t>
  </si>
  <si>
    <t>Receive any prenatal care?</t>
  </si>
  <si>
    <t>prenatal_care</t>
  </si>
  <si>
    <t>LH4PCARE</t>
  </si>
  <si>
    <t>OC4PCAR</t>
  </si>
  <si>
    <t>hypertensionEclampsia</t>
  </si>
  <si>
    <t>Hypertension/pre-eclampsia/eclampsia?</t>
  </si>
  <si>
    <t>hypertension_eclampsia</t>
  </si>
  <si>
    <t>LH4HYPR</t>
  </si>
  <si>
    <t>OC4HYPE</t>
  </si>
  <si>
    <t>antepartumHemorrhage</t>
  </si>
  <si>
    <t>Antepartum hemorrhage?</t>
  </si>
  <si>
    <t>antepartum_hemorrhage</t>
  </si>
  <si>
    <t>LH4HMRG</t>
  </si>
  <si>
    <t>OC4ANTE</t>
  </si>
  <si>
    <t>thyroidMalfunction</t>
  </si>
  <si>
    <t>Thyroid malfunction?</t>
  </si>
  <si>
    <t>thyroid_malfunction</t>
  </si>
  <si>
    <t>LH4THYR</t>
  </si>
  <si>
    <t>OC4THYR</t>
  </si>
  <si>
    <t>diabetes</t>
  </si>
  <si>
    <t>Diabetes during pregnancy?</t>
  </si>
  <si>
    <t>LH4DIAB</t>
  </si>
  <si>
    <t>OC4DIAB</t>
  </si>
  <si>
    <t>Labor Delivery</t>
  </si>
  <si>
    <t>maternalAdmissionDate</t>
  </si>
  <si>
    <t>Date of maternal admission</t>
  </si>
  <si>
    <t>maternal_admission_date</t>
  </si>
  <si>
    <t>LH4ADMDT</t>
  </si>
  <si>
    <t>OC4ADAT</t>
  </si>
  <si>
    <t>maternalAdmissionTime</t>
  </si>
  <si>
    <t>Time of maternal admission</t>
  </si>
  <si>
    <t>maternal_admission_time</t>
  </si>
  <si>
    <t>LH4ADMTM</t>
  </si>
  <si>
    <t>OC4ATIM</t>
  </si>
  <si>
    <t>ruptureDate</t>
  </si>
  <si>
    <t>Date of rupture</t>
  </si>
  <si>
    <t>rupture_date</t>
  </si>
  <si>
    <t>LH4RPDT</t>
  </si>
  <si>
    <t>OC4RDAT</t>
  </si>
  <si>
    <t>ruptureTime</t>
  </si>
  <si>
    <t>Time of rupture</t>
  </si>
  <si>
    <t>rupture_time</t>
  </si>
  <si>
    <t>LH4RPTM</t>
  </si>
  <si>
    <t>OC4RTIM</t>
  </si>
  <si>
    <t>ruptureGreater18Hr</t>
  </si>
  <si>
    <t>If RDAT/RTIM unknown, ROM &gt; 18 hours?</t>
  </si>
  <si>
    <t>rupture_greater18hr</t>
  </si>
  <si>
    <t>LH4ESTIM</t>
  </si>
  <si>
    <t>OC4ROME</t>
  </si>
  <si>
    <t>ruptureBeforeDelivery</t>
  </si>
  <si>
    <t>Were rupture of membranes prior to delivery?</t>
  </si>
  <si>
    <t>rupture_before_delivery</t>
  </si>
  <si>
    <t>OC4RUPT</t>
  </si>
  <si>
    <t>labor</t>
  </si>
  <si>
    <t>LABOR</t>
  </si>
  <si>
    <t>LH4LABOR</t>
  </si>
  <si>
    <t>laborOnsetDate</t>
  </si>
  <si>
    <t>Date of labor onset</t>
  </si>
  <si>
    <t>labor_onset_date</t>
  </si>
  <si>
    <t>LH4LBDT</t>
  </si>
  <si>
    <t>laborOnsetTime</t>
  </si>
  <si>
    <t>Time of labor onset</t>
  </si>
  <si>
    <t>labor_onset_time</t>
  </si>
  <si>
    <t>LH4LBTM</t>
  </si>
  <si>
    <t>deliveryMode</t>
  </si>
  <si>
    <t>Final Mode of delivery</t>
  </si>
  <si>
    <t>delivery_mode</t>
  </si>
  <si>
    <t>LH4MODE</t>
  </si>
  <si>
    <t>OC4MODE</t>
  </si>
  <si>
    <t>fetalDecelerate</t>
  </si>
  <si>
    <t>Decelerations and/or loss of fetal heart tones?</t>
  </si>
  <si>
    <t>fetal_decelerate</t>
  </si>
  <si>
    <t>LH4DECEL</t>
  </si>
  <si>
    <t>OC4LOSS</t>
  </si>
  <si>
    <t>cordMishap</t>
  </si>
  <si>
    <t>Cord mishap?</t>
  </si>
  <si>
    <t>cord_mishap</t>
  </si>
  <si>
    <t>LH4CORD</t>
  </si>
  <si>
    <t>OC4CORD</t>
  </si>
  <si>
    <t>uterineRupture</t>
  </si>
  <si>
    <t>Uterine rupture?</t>
  </si>
  <si>
    <t>uterine_rupture</t>
  </si>
  <si>
    <t>LH4UTER</t>
  </si>
  <si>
    <t>OC4UTER</t>
  </si>
  <si>
    <t>shoulderDystocia</t>
  </si>
  <si>
    <t>Shoulder dystocia?</t>
  </si>
  <si>
    <t>shoulder_dystocia</t>
  </si>
  <si>
    <t>LH4SHOUL</t>
  </si>
  <si>
    <t>OC4DYST</t>
  </si>
  <si>
    <t>placentalProblem</t>
  </si>
  <si>
    <t>Placental problems? (abruptio placenta, placenta previa, placenta accreta)</t>
  </si>
  <si>
    <t>placental_problem</t>
  </si>
  <si>
    <t>LH4PLCPX</t>
  </si>
  <si>
    <t>OC4PLAC</t>
  </si>
  <si>
    <t>maternalHemorrhage</t>
  </si>
  <si>
    <t>Maternal hemorrhage?</t>
  </si>
  <si>
    <t>maternal_hemorrhage</t>
  </si>
  <si>
    <t>LH4MHEM</t>
  </si>
  <si>
    <t>OC4HEMO</t>
  </si>
  <si>
    <t>maternalTrauma</t>
  </si>
  <si>
    <t>Maternal trauma?</t>
  </si>
  <si>
    <t>maternal_trauma</t>
  </si>
  <si>
    <t>LH4MTRMA</t>
  </si>
  <si>
    <t>OC4TRAU</t>
  </si>
  <si>
    <t>maternalCardioRespiratoryArrest</t>
  </si>
  <si>
    <t>Maternal cardio-respiratory arrest?</t>
  </si>
  <si>
    <t>maternal_cardio_respiratory_arrest</t>
  </si>
  <si>
    <t>LH4MCARD</t>
  </si>
  <si>
    <t>OC4ARRE</t>
  </si>
  <si>
    <t>maternalSeizure</t>
  </si>
  <si>
    <t>Maternal seizures?</t>
  </si>
  <si>
    <t>maternal_seizure</t>
  </si>
  <si>
    <t>LH4MSEIZ</t>
  </si>
  <si>
    <t>OC4SEIZ</t>
  </si>
  <si>
    <t>perinatalSentinelEvent</t>
  </si>
  <si>
    <t>Any perinatal sentinel events</t>
  </si>
  <si>
    <t>perinatal_sentinel_event</t>
  </si>
  <si>
    <t>any_pse</t>
  </si>
  <si>
    <t>pyrexiaGreater37p6C</t>
  </si>
  <si>
    <t>Pyrexia &gt; 37.6?</t>
  </si>
  <si>
    <t>pyrexia_greater37p6c</t>
  </si>
  <si>
    <t>LH4PYRX</t>
  </si>
  <si>
    <t>OC4PYRE</t>
  </si>
  <si>
    <t>chorioamnionitis</t>
  </si>
  <si>
    <t>Documented chorioamnionitis?</t>
  </si>
  <si>
    <t>LH4CHORI</t>
  </si>
  <si>
    <t>OC4CHOR</t>
  </si>
  <si>
    <t>placentalPathologyPerformed</t>
  </si>
  <si>
    <t>Was placental pathology performed?</t>
  </si>
  <si>
    <t>placental_pathology_performed</t>
  </si>
  <si>
    <t>LH4PPATH</t>
  </si>
  <si>
    <t>OC4PATH</t>
  </si>
  <si>
    <t>histologicChorioamionitis</t>
  </si>
  <si>
    <t>Was histologic chorioamnionitis documented?</t>
  </si>
  <si>
    <t>histologic_chorioamionitis</t>
  </si>
  <si>
    <t>LH4CHDOC</t>
  </si>
  <si>
    <t>OC4HIST</t>
  </si>
  <si>
    <t>laborAntibiotics</t>
  </si>
  <si>
    <t>Antibiotics for suspected/confirmed infection?</t>
  </si>
  <si>
    <t>labor_antibiotics</t>
  </si>
  <si>
    <t>LH4ANTI</t>
  </si>
  <si>
    <t>OC4ANTI</t>
  </si>
  <si>
    <t>laborAntibioticsCode1</t>
  </si>
  <si>
    <t>antibiotics</t>
  </si>
  <si>
    <t>Enter the antibiotic code-1</t>
  </si>
  <si>
    <t>labor_antibiotics_code1</t>
  </si>
  <si>
    <t>LH4ANTC1</t>
  </si>
  <si>
    <t>OC4ANT1</t>
  </si>
  <si>
    <t>laborAntibioticsCode2</t>
  </si>
  <si>
    <t>Enter the antibiotic code-2</t>
  </si>
  <si>
    <t>labor_antibiotics_code2</t>
  </si>
  <si>
    <t>LH4ANTC2</t>
  </si>
  <si>
    <t>OC4ANT2</t>
  </si>
  <si>
    <t>laborAntibioticsCode3</t>
  </si>
  <si>
    <t>Enter the antibiotic code-3</t>
  </si>
  <si>
    <t>labor_antibiotics_code3</t>
  </si>
  <si>
    <t>LH4ANTC3</t>
  </si>
  <si>
    <t>OC4ANT3</t>
  </si>
  <si>
    <t>laborAntibioticsCode4</t>
  </si>
  <si>
    <t>Enter the antibiotic code-4</t>
  </si>
  <si>
    <t>labor_antibiotics_code4</t>
  </si>
  <si>
    <t>OC4ANT4</t>
  </si>
  <si>
    <t>laborAntibioticsCode5</t>
  </si>
  <si>
    <t>Enter the antibiotic code-5</t>
  </si>
  <si>
    <t>labor_antibiotics_code5</t>
  </si>
  <si>
    <t>OC4ANT5</t>
  </si>
  <si>
    <t>laborAntibioticsCode6</t>
  </si>
  <si>
    <t>Enter the antibiotic code-6</t>
  </si>
  <si>
    <t>labor_antibiotics_code6</t>
  </si>
  <si>
    <t>OC4ANT6</t>
  </si>
  <si>
    <t>emergencyCSection</t>
  </si>
  <si>
    <t>Emergency c-section</t>
  </si>
  <si>
    <t>emergency_c_section</t>
  </si>
  <si>
    <t>ecsect</t>
  </si>
  <si>
    <t>Birth</t>
  </si>
  <si>
    <t>encephalopathyLevel</t>
  </si>
  <si>
    <t>Level of encephalopathy</t>
  </si>
  <si>
    <t>encephalopathy_level</t>
  </si>
  <si>
    <t>LH2LEVEL</t>
  </si>
  <si>
    <t>OC2LEVEL</t>
  </si>
  <si>
    <t>hie_fix</t>
  </si>
  <si>
    <t>randomInfantAge</t>
  </si>
  <si>
    <t>infantAge</t>
  </si>
  <si>
    <t>Age of Infant at Randomization</t>
  </si>
  <si>
    <t>random_infant_age</t>
  </si>
  <si>
    <t>LH2RAGE</t>
  </si>
  <si>
    <t>Date of Birth</t>
  </si>
  <si>
    <t>LH5BRTDT</t>
  </si>
  <si>
    <t>OC5BDAT</t>
  </si>
  <si>
    <t>birthTime</t>
  </si>
  <si>
    <t>Time of birth</t>
  </si>
  <si>
    <t>birth_time</t>
  </si>
  <si>
    <t>LH5BRTTM</t>
  </si>
  <si>
    <t>OC5BTIM</t>
  </si>
  <si>
    <t>birthWeight_g</t>
  </si>
  <si>
    <t>Birth weight (gms)</t>
  </si>
  <si>
    <t>birth_weight_g</t>
  </si>
  <si>
    <t>LH5BTWGT</t>
  </si>
  <si>
    <t>OC5BWHGT</t>
  </si>
  <si>
    <t>birthLength_cm</t>
  </si>
  <si>
    <t>Length (cm)</t>
  </si>
  <si>
    <t>birth_length_cm</t>
  </si>
  <si>
    <t>LH5LGTH</t>
  </si>
  <si>
    <t>OC5BLGTH</t>
  </si>
  <si>
    <t>birthHeadCircumference_cm</t>
  </si>
  <si>
    <t>Head circumference (cm)</t>
  </si>
  <si>
    <t>birth_head_circumference_cm</t>
  </si>
  <si>
    <t>LH5HC</t>
  </si>
  <si>
    <t>OC5HCIRC</t>
  </si>
  <si>
    <t>birthGestationalAge_week</t>
  </si>
  <si>
    <t>Gestational age (completed weeks)</t>
  </si>
  <si>
    <t>birth_gestational_age_week</t>
  </si>
  <si>
    <t>LH5GAGE</t>
  </si>
  <si>
    <t>OC5GAGE</t>
  </si>
  <si>
    <t>infantSex</t>
  </si>
  <si>
    <t>Sex</t>
  </si>
  <si>
    <t>infant_sex</t>
  </si>
  <si>
    <t>LH5SEX</t>
  </si>
  <si>
    <t>OC5SEX</t>
  </si>
  <si>
    <t>maleSex</t>
  </si>
  <si>
    <t>Male sex</t>
  </si>
  <si>
    <t>male_sex</t>
  </si>
  <si>
    <t>male</t>
  </si>
  <si>
    <t>infantOutborn</t>
  </si>
  <si>
    <t>WAS INFANT OUTBORN?</t>
  </si>
  <si>
    <t>infant_outborn</t>
  </si>
  <si>
    <t>LH5OUTB</t>
  </si>
  <si>
    <t>OC5OBOR</t>
  </si>
  <si>
    <t>outbornInHospital</t>
  </si>
  <si>
    <t>outborn in a hospital setting?</t>
  </si>
  <si>
    <t>outborn_in_hospital</t>
  </si>
  <si>
    <t>LH5INHOS</t>
  </si>
  <si>
    <t>OC5HSET</t>
  </si>
  <si>
    <t>outbornOutHospital</t>
  </si>
  <si>
    <t>Out of hospital setting?</t>
  </si>
  <si>
    <t>outborn_out_hospital</t>
  </si>
  <si>
    <t>LH5OUHOS</t>
  </si>
  <si>
    <t>OC5OSET</t>
  </si>
  <si>
    <t>neonateAdmissionDate</t>
  </si>
  <si>
    <t>Neonate Admission Date</t>
  </si>
  <si>
    <t>neonate_admission_date</t>
  </si>
  <si>
    <t>LH5ADMDT</t>
  </si>
  <si>
    <t>OC5ADAT</t>
  </si>
  <si>
    <t>neonateAdmissionTime</t>
  </si>
  <si>
    <t>Neonate Admission Time:</t>
  </si>
  <si>
    <t>neonate_admission_time</t>
  </si>
  <si>
    <t>LH5ADMTM</t>
  </si>
  <si>
    <t>OC5ATIM</t>
  </si>
  <si>
    <t>Apgar1min</t>
  </si>
  <si>
    <t>APGAR SCORE: 1 minute</t>
  </si>
  <si>
    <t>apgar1min</t>
  </si>
  <si>
    <t>LH5AP1MN</t>
  </si>
  <si>
    <t>OC5AS1</t>
  </si>
  <si>
    <t>Apgar5min</t>
  </si>
  <si>
    <t>APGAR SCORE: 5 minute</t>
  </si>
  <si>
    <t>apgar5min</t>
  </si>
  <si>
    <t>LH5AP5MN</t>
  </si>
  <si>
    <t>OC5AS5</t>
  </si>
  <si>
    <t>Apgar10min</t>
  </si>
  <si>
    <t>APGAR SCORE: 10 minute</t>
  </si>
  <si>
    <t>apgar10min</t>
  </si>
  <si>
    <t>LH5A10MN</t>
  </si>
  <si>
    <t>OC5AS10</t>
  </si>
  <si>
    <t>Apgar15min</t>
  </si>
  <si>
    <t>APGAR SCORE: 15 minute</t>
  </si>
  <si>
    <t>apgar15min</t>
  </si>
  <si>
    <t>OC5AS15</t>
  </si>
  <si>
    <t>Apgar20min</t>
  </si>
  <si>
    <t>APGAR SCORE: 20 minute</t>
  </si>
  <si>
    <t>apgar20min</t>
  </si>
  <si>
    <t>LH5A20MN</t>
  </si>
  <si>
    <t>OC5AS20</t>
  </si>
  <si>
    <t>deliveryResuscitation</t>
  </si>
  <si>
    <t>RESUSCITATION AT DELIVERY</t>
  </si>
  <si>
    <t>delivery_resuscitation</t>
  </si>
  <si>
    <t>LH5DLRES</t>
  </si>
  <si>
    <t>deliveryOxygen</t>
  </si>
  <si>
    <t>At Delivery: Oxygen?</t>
  </si>
  <si>
    <t>delivery_oxygen</t>
  </si>
  <si>
    <t>LH5DLO2</t>
  </si>
  <si>
    <t>OC5OXY</t>
  </si>
  <si>
    <t>deliveryBaggingAndMask</t>
  </si>
  <si>
    <t>At Delivery: Bagging and mask?</t>
  </si>
  <si>
    <t>delivery_bagging_and_mask</t>
  </si>
  <si>
    <t>LH5DLBAG</t>
  </si>
  <si>
    <t>OC5BAG</t>
  </si>
  <si>
    <t>deliveryChestCompression</t>
  </si>
  <si>
    <t>At Delivery: Chest compression?</t>
  </si>
  <si>
    <t>delivery_chest_compression</t>
  </si>
  <si>
    <t>LH5DLCOM</t>
  </si>
  <si>
    <t>OC5COM</t>
  </si>
  <si>
    <t>deliveryIntubation</t>
  </si>
  <si>
    <t>At Delivery: Intubation?</t>
  </si>
  <si>
    <t>delivery_intubation</t>
  </si>
  <si>
    <t>LH5DLINT</t>
  </si>
  <si>
    <t>OC5INT</t>
  </si>
  <si>
    <t>deliveryDrug</t>
  </si>
  <si>
    <t>At Delivery: Drugs?</t>
  </si>
  <si>
    <t>delivery_drug</t>
  </si>
  <si>
    <t>LH5DLDRG</t>
  </si>
  <si>
    <t>OC5DRUG</t>
  </si>
  <si>
    <t>at10MinContinueResuscitation</t>
  </si>
  <si>
    <t>CONTINUED RESUSCITATION AT 10 MINS?</t>
  </si>
  <si>
    <t>at10min_continue_resuscitation</t>
  </si>
  <si>
    <t>LH510RES</t>
  </si>
  <si>
    <t>OC5CRS10</t>
  </si>
  <si>
    <t>at10MinOxygen</t>
  </si>
  <si>
    <t>At 10 mins: Oxygen?</t>
  </si>
  <si>
    <t>at10min_oxygen</t>
  </si>
  <si>
    <t>LH510O2</t>
  </si>
  <si>
    <t>OC5COXY</t>
  </si>
  <si>
    <t>at10MinBaggingAndMask</t>
  </si>
  <si>
    <t>At 10 mins: Bagging and mask?</t>
  </si>
  <si>
    <t>at10min_bagging_and_mask</t>
  </si>
  <si>
    <t>LH510BAG</t>
  </si>
  <si>
    <t>OC5CBAG</t>
  </si>
  <si>
    <t>at10MinChestCompression</t>
  </si>
  <si>
    <t>At 10 mins: Chest compression?</t>
  </si>
  <si>
    <t>at10min_chest_compression</t>
  </si>
  <si>
    <t>LH510COM</t>
  </si>
  <si>
    <t>OC5CCOM</t>
  </si>
  <si>
    <t>at10MinIntubation</t>
  </si>
  <si>
    <t>At 10 mins: Intubation?</t>
  </si>
  <si>
    <t>at10min_intubation</t>
  </si>
  <si>
    <t>LH510INT</t>
  </si>
  <si>
    <t>OC5CINT</t>
  </si>
  <si>
    <t>at10MinDrug</t>
  </si>
  <si>
    <t>At 10 mins: Drugs?</t>
  </si>
  <si>
    <t>at10min_drug</t>
  </si>
  <si>
    <t>LH510DRG</t>
  </si>
  <si>
    <t>OC5CDRUG</t>
  </si>
  <si>
    <t>spontaneousRespirationTime</t>
  </si>
  <si>
    <t>Time to spontaneous respiration</t>
  </si>
  <si>
    <t>spontaneous_respiration_time</t>
  </si>
  <si>
    <t>LH5SPRES</t>
  </si>
  <si>
    <t>OC5SPTIM</t>
  </si>
  <si>
    <t>cordBloodGas</t>
  </si>
  <si>
    <t>cord blood gas obtained?</t>
  </si>
  <si>
    <t>cord_blood_gas</t>
  </si>
  <si>
    <t>LH5CORD</t>
  </si>
  <si>
    <t>OC5TOBT</t>
  </si>
  <si>
    <t>cordBloodGasSrc</t>
  </si>
  <si>
    <t>cord blood gas source</t>
  </si>
  <si>
    <t>cord_blood_gas_src</t>
  </si>
  <si>
    <t>LH5CDSRC</t>
  </si>
  <si>
    <t>OC5CBSOR</t>
  </si>
  <si>
    <t>cordBloodGasPH</t>
  </si>
  <si>
    <t>cord blood gas pH</t>
  </si>
  <si>
    <t>cord_blood_gas_ph</t>
  </si>
  <si>
    <t>LH5CDPH</t>
  </si>
  <si>
    <t>OC5PH</t>
  </si>
  <si>
    <t>cordBloodGasPCO2_mmHg</t>
  </si>
  <si>
    <t>cord blood gas PCO2 (mmHg)</t>
  </si>
  <si>
    <t>cord_blood_gas_pco2mmhg</t>
  </si>
  <si>
    <t>LH5CDPCO</t>
  </si>
  <si>
    <t>OC5PC02</t>
  </si>
  <si>
    <t>cordBloodGasPO2_mmHg</t>
  </si>
  <si>
    <t>cord blood gas PO2 (mmHg)</t>
  </si>
  <si>
    <t>cord_blood_gas_po2mmhg</t>
  </si>
  <si>
    <t>LH5CDPO2</t>
  </si>
  <si>
    <t>OC5PO2</t>
  </si>
  <si>
    <t>cordBloodGasHCO3_mEqPerL</t>
  </si>
  <si>
    <t>cord blood gas HCO3 (mEq)</t>
  </si>
  <si>
    <t>cord_blood_gas_hco3meqperl</t>
  </si>
  <si>
    <t>LH5CDHCO</t>
  </si>
  <si>
    <t>OC5HC03</t>
  </si>
  <si>
    <t>cordBloodGasBaseDeficit_mEqPerL</t>
  </si>
  <si>
    <t>cord blood gas base deficit</t>
  </si>
  <si>
    <t>cord_blood_gas_base_deficit_meqperl</t>
  </si>
  <si>
    <t>LH5CDDEF</t>
  </si>
  <si>
    <t>OC5BASE</t>
  </si>
  <si>
    <t>firstPostnatalBloodGas</t>
  </si>
  <si>
    <t>first postnatal blood gas</t>
  </si>
  <si>
    <t>first_postnatal_blood_gas</t>
  </si>
  <si>
    <t>LH5POST</t>
  </si>
  <si>
    <t>OC5PBBO</t>
  </si>
  <si>
    <t>firstPostnatalBloodGasSrc</t>
  </si>
  <si>
    <t>bloodGasSrc</t>
  </si>
  <si>
    <t>first postnatal blood gas source</t>
  </si>
  <si>
    <t>first_postnatal_blood_gas_src</t>
  </si>
  <si>
    <t>LH5PSSRC</t>
  </si>
  <si>
    <t>OC5PNSOU</t>
  </si>
  <si>
    <t>firstPostnatalBloodGasDate</t>
  </si>
  <si>
    <t>first postnatal blood gas date</t>
  </si>
  <si>
    <t>first_postnatal_blood_gas_date</t>
  </si>
  <si>
    <t>LH5PSDT</t>
  </si>
  <si>
    <t>OC5PBGD</t>
  </si>
  <si>
    <t>firstPostnatalBloodGasTime</t>
  </si>
  <si>
    <t>first postnatal blood gas time</t>
  </si>
  <si>
    <t>first_postnatal_blood_gas_time</t>
  </si>
  <si>
    <t>LH5PSTM</t>
  </si>
  <si>
    <t>OC5PBGT</t>
  </si>
  <si>
    <t>firstPostnatalBloodGasPH</t>
  </si>
  <si>
    <t>first postnatal blood gas pH</t>
  </si>
  <si>
    <t>first_postnatal_blood_gas_ph</t>
  </si>
  <si>
    <t>LH5PSPH</t>
  </si>
  <si>
    <t>OC5PPH</t>
  </si>
  <si>
    <t>firstPostnatalBloodGasPCO2_mmHg</t>
  </si>
  <si>
    <t>first postnatal blood gas PCO2 (mmHg)</t>
  </si>
  <si>
    <t>first_postnatal_blood_gas_pco2mmhg</t>
  </si>
  <si>
    <t>LH5PSPCO</t>
  </si>
  <si>
    <t>OC5PPC02</t>
  </si>
  <si>
    <t>firstPostnatalBloodGasPO2_mmHg</t>
  </si>
  <si>
    <t>first postnatal blood gas PO2 (mmHg)</t>
  </si>
  <si>
    <t>first_postnatal_blood_gas_po2mmhg</t>
  </si>
  <si>
    <t>LH5PSPO2</t>
  </si>
  <si>
    <t>OC5PPO2</t>
  </si>
  <si>
    <t>firstPostnatalBloodGasHCO3_mEqPerL</t>
  </si>
  <si>
    <t>first postnatal blood gas HCO3 (mEq/L)</t>
  </si>
  <si>
    <t>first_postnatal_blood_gas_hco3meqperl</t>
  </si>
  <si>
    <t>LH5PSHCO</t>
  </si>
  <si>
    <t>OC5PHC03</t>
  </si>
  <si>
    <t>firstPostnatalBloodGasBaseDeficit_mEqPerL</t>
  </si>
  <si>
    <t>first postnatal blood gas base deficit</t>
  </si>
  <si>
    <t>first_postnatal_blood_gas_base_deficit_meqperl</t>
  </si>
  <si>
    <t>LH5PSDEF</t>
  </si>
  <si>
    <t>OC5PBASE</t>
  </si>
  <si>
    <t>acidosis</t>
  </si>
  <si>
    <t>Cord (or 1st postnatal) blood gas &lt;= 7</t>
  </si>
  <si>
    <t>Apgar10minLess5</t>
  </si>
  <si>
    <t>10-minute Apgar score &lt; 5</t>
  </si>
  <si>
    <t>apgar10min_less5</t>
  </si>
  <si>
    <t>apg10_lt5</t>
  </si>
  <si>
    <t>Apgar10minLessEq5</t>
  </si>
  <si>
    <t>10-minute Apgar score &lt;= 5</t>
  </si>
  <si>
    <t>apgar10min_less_eq5</t>
  </si>
  <si>
    <t>apgar10_5</t>
  </si>
  <si>
    <t>Apgar5minLessEq5</t>
  </si>
  <si>
    <t>5-minute Apgar score &lt;= 5</t>
  </si>
  <si>
    <t>apgar5min_less_eq5</t>
  </si>
  <si>
    <t>apgar5_5</t>
  </si>
  <si>
    <t>initBloodGasBaseDeficit_mEqPerL</t>
  </si>
  <si>
    <t>Base deficit (cord or 1st postnatal blood gas)</t>
  </si>
  <si>
    <t>init_blood_gas_base_deficit_meqperl</t>
  </si>
  <si>
    <t>dual_base</t>
  </si>
  <si>
    <t>initBloodGasBaseDeficit_mEqPerLSrc</t>
  </si>
  <si>
    <t>initBloodGasSrc</t>
  </si>
  <si>
    <t>Source of base deficit (cord or 1st postnatal blood gas)</t>
  </si>
  <si>
    <t>init_blood_gas_base_deficit_meqperl_src</t>
  </si>
  <si>
    <t>use_base</t>
  </si>
  <si>
    <t>initBloodGasPH</t>
  </si>
  <si>
    <t>pH (cord or 1st postnatal blood gas)</t>
  </si>
  <si>
    <t>init_blood_gas_ph</t>
  </si>
  <si>
    <t>dual_ph</t>
  </si>
  <si>
    <t>initBloodGasPHSrc</t>
  </si>
  <si>
    <t>Source of pH (cord or 1st postnatal blood gas</t>
  </si>
  <si>
    <t>init_blood_gas_ph_src</t>
  </si>
  <si>
    <t>use_ph</t>
  </si>
  <si>
    <t>Temperature</t>
  </si>
  <si>
    <t>targetTreatmentTemperature_C</t>
  </si>
  <si>
    <t>targetTreatmentTemperature</t>
  </si>
  <si>
    <t>Target Treatment Temperature for (120/72) hours</t>
  </si>
  <si>
    <t>target_treatment_temperature_c</t>
  </si>
  <si>
    <t>OC6TGTTP</t>
  </si>
  <si>
    <t>pre_CoolInitiate</t>
  </si>
  <si>
    <t>Cooling initiated prior to Randomization?</t>
  </si>
  <si>
    <t>pre_cool_initiate</t>
  </si>
  <si>
    <t>OC6CLPRD</t>
  </si>
  <si>
    <t>pre_CoolbyIceGelPack</t>
  </si>
  <si>
    <t>Cooled by ice/gel packs?</t>
  </si>
  <si>
    <t>pre_coolby_ice_gel_pack</t>
  </si>
  <si>
    <t>OC6CLICE</t>
  </si>
  <si>
    <t>pre_CoolPassively</t>
  </si>
  <si>
    <t>Cooled passively?</t>
  </si>
  <si>
    <t>pre_cool_passively</t>
  </si>
  <si>
    <t>OC6CLPAS</t>
  </si>
  <si>
    <t>pre_CoolClinically</t>
  </si>
  <si>
    <t>Cooled clinically?</t>
  </si>
  <si>
    <t>pre_cool_clinically</t>
  </si>
  <si>
    <t>OC6CLCLN</t>
  </si>
  <si>
    <t>pre_CoolInitiateDate</t>
  </si>
  <si>
    <t>Date cooling initiated</t>
  </si>
  <si>
    <t>pre_cool_initiate_date</t>
  </si>
  <si>
    <t>OC6CLDAT</t>
  </si>
  <si>
    <t>pre_CoolInitiateTime</t>
  </si>
  <si>
    <t>Time cooling initiated</t>
  </si>
  <si>
    <t>pre_cool_initiate_time</t>
  </si>
  <si>
    <t>OC6CLTIM</t>
  </si>
  <si>
    <t>pre_AfterOvershootReach33p5C</t>
  </si>
  <si>
    <t>33.5º reached after overshoot prior to Baseline?</t>
  </si>
  <si>
    <t>pre_after_overshoot_reach33p5c</t>
  </si>
  <si>
    <t>OC6TMPOV</t>
  </si>
  <si>
    <t>pre_AfterOvershootReach33p5CDate</t>
  </si>
  <si>
    <t>Date 33.5º reached after overshoot</t>
  </si>
  <si>
    <t>pre_after_overshoot_reach33p5c_date</t>
  </si>
  <si>
    <t>OC6TODAT</t>
  </si>
  <si>
    <t>pre_AfterOvershootReach33p5CTime</t>
  </si>
  <si>
    <t>Time 33.5º reached after overshoot</t>
  </si>
  <si>
    <t>pre_after_overshoot_reach33p5c_time</t>
  </si>
  <si>
    <t>OC6TOTIM</t>
  </si>
  <si>
    <t>pre_TemperatureMinDate</t>
  </si>
  <si>
    <t>Date of Min. temp prior to baseline</t>
  </si>
  <si>
    <t>pre_temperature_min_date</t>
  </si>
  <si>
    <t>LH: interval as 0</t>
  </si>
  <si>
    <t>OC6TPBDM</t>
  </si>
  <si>
    <t>pre_TemperatureMinTime</t>
  </si>
  <si>
    <t>Time of Min. temp prior to baseline</t>
  </si>
  <si>
    <t>pre_temperature_min_time</t>
  </si>
  <si>
    <t>OC6TPBTM</t>
  </si>
  <si>
    <t>pre_SkinTemperatureMin_C</t>
  </si>
  <si>
    <t>Min. skin temp prior to baseline</t>
  </si>
  <si>
    <t>pre_skin_temperature_min_c</t>
  </si>
  <si>
    <t>OC6TPBSM</t>
  </si>
  <si>
    <t>pre_AxillaryTemperatureMin_C</t>
  </si>
  <si>
    <t>Min. axillary temp prior to baseline</t>
  </si>
  <si>
    <t>pre_axillary_temperature_min_c</t>
  </si>
  <si>
    <t>OC6TPBAM</t>
  </si>
  <si>
    <t>pre_EsophagealTemperatureMin_C</t>
  </si>
  <si>
    <t>Min. esophageal temp prior to baseline</t>
  </si>
  <si>
    <t>pre_esophageal_temperature_min_c</t>
  </si>
  <si>
    <t>OC6TPBEM</t>
  </si>
  <si>
    <t>pre_ServoSetMin_C</t>
  </si>
  <si>
    <t>Min. servo set point prior to baseline</t>
  </si>
  <si>
    <t>pre_servo_set_min_c</t>
  </si>
  <si>
    <t>OC6TPBVM</t>
  </si>
  <si>
    <t>pre_TemperatureMaxDate</t>
  </si>
  <si>
    <t>Date of Max. temp prior to baseline</t>
  </si>
  <si>
    <t>pre_temperature_max_date</t>
  </si>
  <si>
    <t>LH: interval as 1</t>
  </si>
  <si>
    <t>OC6TPBDX</t>
  </si>
  <si>
    <t>pre_TemperatureMaxTime</t>
  </si>
  <si>
    <t>Time of Max. temp prior to baseline</t>
  </si>
  <si>
    <t>pre_temperature_max_time</t>
  </si>
  <si>
    <t>OC6TPBTX</t>
  </si>
  <si>
    <t>pre_SkinTemperatureMax_C</t>
  </si>
  <si>
    <t>Max. skin temp prior to baseline</t>
  </si>
  <si>
    <t>pre_skin_temperature_max_c</t>
  </si>
  <si>
    <t>OC6TPBSX</t>
  </si>
  <si>
    <t>pre_AxillaryTemperatureMax_C</t>
  </si>
  <si>
    <t>Max. axillary temp prior to baseline</t>
  </si>
  <si>
    <t>pre_axillary_temperature_max_c</t>
  </si>
  <si>
    <t>OC6TPBAX</t>
  </si>
  <si>
    <t>pre_EsophagealTemperatureMax_C</t>
  </si>
  <si>
    <t>Max. esophageal temp prior to baseline</t>
  </si>
  <si>
    <t>pre_esophageal_temperature_max_c</t>
  </si>
  <si>
    <t>OC6TPBEX</t>
  </si>
  <si>
    <t>pre_ServoSetMax_C</t>
  </si>
  <si>
    <t>Max. servo set point prior to baseline</t>
  </si>
  <si>
    <t>pre_servo_set_max_c</t>
  </si>
  <si>
    <t>OC6TPBVX</t>
  </si>
  <si>
    <t>Cardiovascular</t>
  </si>
  <si>
    <t>pre_CardioDate</t>
  </si>
  <si>
    <t>Cardio: Reading Date</t>
  </si>
  <si>
    <t>pre_cardio_date</t>
  </si>
  <si>
    <t>LH: interval as 0, OC: interval as 0</t>
  </si>
  <si>
    <t>pre_CardioTime</t>
  </si>
  <si>
    <t>Cardio: Reading Time</t>
  </si>
  <si>
    <t>pre_cardio_time</t>
  </si>
  <si>
    <t>pre_CardioSystolicBloodPressure_mmHg</t>
  </si>
  <si>
    <t>Cardio: Blood Pressure Systolic</t>
  </si>
  <si>
    <t>pre_cardio_systolic_blood_pressure_mmhg</t>
  </si>
  <si>
    <t>pre_CardioDiastolicBloodPressure_mmHg</t>
  </si>
  <si>
    <t>Cardio: Blood Pressure Diastolic</t>
  </si>
  <si>
    <t>pre_cardio_diastolic_blood_pressure_mmhg</t>
  </si>
  <si>
    <t>pre_CardioHeartRate_BPM</t>
  </si>
  <si>
    <t>Cardio: Heart Rate</t>
  </si>
  <si>
    <t>pre_cardio_heart_rate_bpm</t>
  </si>
  <si>
    <t>pre_CardioVolumeExpand</t>
  </si>
  <si>
    <t>Cardio: Volume Expand</t>
  </si>
  <si>
    <t>pre_cardio_volume_expand</t>
  </si>
  <si>
    <t>pre_CardioInotropicAgent</t>
  </si>
  <si>
    <t>Cardio: Inotropic Agent</t>
  </si>
  <si>
    <t>pre_cardio_inotropic_agent</t>
  </si>
  <si>
    <t>pre_CardioBloodTransfusion</t>
  </si>
  <si>
    <t>Cardio: Blood Transfusion</t>
  </si>
  <si>
    <t>pre_cardio_blood_transfusion</t>
  </si>
  <si>
    <t>pre_CardioPlatelets</t>
  </si>
  <si>
    <t>Cardio: Platelets</t>
  </si>
  <si>
    <t>pre_cardio_platelets</t>
  </si>
  <si>
    <t>pre_InotropicAgent</t>
  </si>
  <si>
    <t>Inotropic agents at baseline</t>
  </si>
  <si>
    <t>pre_inotropic_agent</t>
  </si>
  <si>
    <t>inot_0</t>
  </si>
  <si>
    <t>Respiratory</t>
  </si>
  <si>
    <t>pre_RespiratoryDate</t>
  </si>
  <si>
    <t>Respiratory Readings: Date</t>
  </si>
  <si>
    <t>pre_respiratory_date</t>
  </si>
  <si>
    <t>OC: interval as 0</t>
  </si>
  <si>
    <t>pre_RespiratoryTime</t>
  </si>
  <si>
    <t>Respiratory Readings: Time</t>
  </si>
  <si>
    <t>pre_respiratory_time</t>
  </si>
  <si>
    <t>pre_RespiratorySupportType</t>
  </si>
  <si>
    <t>respiratorySupportType</t>
  </si>
  <si>
    <t>Respiratory Support Type</t>
  </si>
  <si>
    <t>pre_respiratory_support_type</t>
  </si>
  <si>
    <t>pre_RespiratoryFiO2</t>
  </si>
  <si>
    <t>FiO2</t>
  </si>
  <si>
    <t>pre_respiratory_fio2</t>
  </si>
  <si>
    <t>pre_RespiratoryRate_Hz</t>
  </si>
  <si>
    <t>Rate/Hz</t>
  </si>
  <si>
    <t>pre_respiratory_rate_hz</t>
  </si>
  <si>
    <t>pre_RespiratoryPIP_cmH2O</t>
  </si>
  <si>
    <t>PIP (peak inspiratory pressure) / [DELTA]P</t>
  </si>
  <si>
    <t>pre_respiratory_pip_cm_h2o</t>
  </si>
  <si>
    <t>pre_RespiratoryMAP_cmH2O</t>
  </si>
  <si>
    <t>MAP (mean air pressure)</t>
  </si>
  <si>
    <t>pre_respiratory_map_cm_h2o</t>
  </si>
  <si>
    <t>pre_RespiratoryPEEP_cmH2O</t>
  </si>
  <si>
    <t>PEEP (positive end-expiratory pressure)</t>
  </si>
  <si>
    <t>pre_respiratory_peep_cm_h2o</t>
  </si>
  <si>
    <t/>
  </si>
  <si>
    <t>Blood Gas</t>
  </si>
  <si>
    <t>pre_BloodGasDate</t>
  </si>
  <si>
    <t>date of blood gas</t>
  </si>
  <si>
    <t>pre_blood_gas_date</t>
  </si>
  <si>
    <t>pre_BloodGasTime</t>
  </si>
  <si>
    <t>time of blood gas</t>
  </si>
  <si>
    <t>pre_blood_gas_time</t>
  </si>
  <si>
    <t>pre_BloodGasSrc</t>
  </si>
  <si>
    <t>pre_blood_gas_src</t>
  </si>
  <si>
    <t>pre_BloodGasPH</t>
  </si>
  <si>
    <t>pH of blood gas</t>
  </si>
  <si>
    <t>pre_blood_gas_ph</t>
  </si>
  <si>
    <t>pre_BloodGasPCO2_mmHg</t>
  </si>
  <si>
    <t>PCO2 (mmHg) of blood gas</t>
  </si>
  <si>
    <t>pre_blood_gas_pco2_mmhg</t>
  </si>
  <si>
    <t>pre_BloodGasPO2_mmHg</t>
  </si>
  <si>
    <t>PO2 (mmHg) of blood gas</t>
  </si>
  <si>
    <t>pre_blood_gas_po2_mmhg</t>
  </si>
  <si>
    <t>pre_BloodGasHCO3_mEqPerL</t>
  </si>
  <si>
    <t>HCO3 (mEq/L) of blood gas</t>
  </si>
  <si>
    <t>pre_blood_gas_hco3_meqperl</t>
  </si>
  <si>
    <t>pre_BloodGasBaseDeficit_mEqPerL</t>
  </si>
  <si>
    <t>base deficit of blood gas</t>
  </si>
  <si>
    <t>pre_blood_gas_base_deficit_meqperl</t>
  </si>
  <si>
    <t>pre_BloodGasPHCorrect</t>
  </si>
  <si>
    <t>corrected pH of blood gas</t>
  </si>
  <si>
    <t>pre_blood_gas_ph_correct</t>
  </si>
  <si>
    <t>pre_BloodGasPCO2Correct_mmHg</t>
  </si>
  <si>
    <t>corrected PCO2 (mmHg) of blood gas</t>
  </si>
  <si>
    <t>pre_blood_gas_pco2correct_mmhg</t>
  </si>
  <si>
    <t>pre_BloodGasPO2Correct_mmHg</t>
  </si>
  <si>
    <t>corrected PO2 (mmHg) of blood gas</t>
  </si>
  <si>
    <t>pre_blood_gas_po2correct_mmhg</t>
  </si>
  <si>
    <t>pre_BloodGasHCO3Correct_mEqPerL</t>
  </si>
  <si>
    <t>corrected HCO3 (mEq/L) of blood gas</t>
  </si>
  <si>
    <t>pre_blood_gas_hco3correct_meqperl</t>
  </si>
  <si>
    <t>pre_BloodGasBaseDeficitCorrect_mEqPerL</t>
  </si>
  <si>
    <t>corrected base deficit of blood gas</t>
  </si>
  <si>
    <t>pre_blood_gas_base_deficit_correct_meqperl</t>
  </si>
  <si>
    <t>Hematology CBC</t>
  </si>
  <si>
    <t>pre_Hematology</t>
  </si>
  <si>
    <t>Were Hematologic Labs Performed?</t>
  </si>
  <si>
    <t>pre_hematology</t>
  </si>
  <si>
    <t>pre_HematologyDate</t>
  </si>
  <si>
    <t>date of hematology test</t>
  </si>
  <si>
    <t>pre_hematology_date</t>
  </si>
  <si>
    <t>pre_HematologyTime</t>
  </si>
  <si>
    <t>time of hematology test</t>
  </si>
  <si>
    <t>pre_hematology_time</t>
  </si>
  <si>
    <t>pre_HematologyWBC_cPermuL</t>
  </si>
  <si>
    <t>wbc</t>
  </si>
  <si>
    <t>pre_hematology_wbc_cpermul</t>
  </si>
  <si>
    <t>pre_HematologyHemoglobin_gPerdL</t>
  </si>
  <si>
    <t>hemoglobin</t>
  </si>
  <si>
    <t>pre_hematology_hemoglobin_gperdl</t>
  </si>
  <si>
    <t>pre_HematologyPolymorphNeutrophils_cPermuL</t>
  </si>
  <si>
    <t>differential count - polymorph / neutrophils</t>
  </si>
  <si>
    <t>pre_hematology_polymorph_neutrophils_cpermul</t>
  </si>
  <si>
    <t>pre_HematologyMonocytes_cPermuL</t>
  </si>
  <si>
    <t>monocytes</t>
  </si>
  <si>
    <t>pre_hematology_monocytes_cpermul</t>
  </si>
  <si>
    <t>pre_HematologyLymphocytes_cPermuL</t>
  </si>
  <si>
    <t>lymphocytes</t>
  </si>
  <si>
    <t>pre_hematology_lymphocytes_cpermul</t>
  </si>
  <si>
    <t>pre_HematologyPlateletCount_cPermuL</t>
  </si>
  <si>
    <t>platelet count</t>
  </si>
  <si>
    <t>pre_hematology_platelet_count_cpermul</t>
  </si>
  <si>
    <t>pre_HematologyPT_s</t>
  </si>
  <si>
    <t>PT (Prothrombin time)</t>
  </si>
  <si>
    <t>pre_hematology_pt_s</t>
  </si>
  <si>
    <t>pre_HematologyPTT_s</t>
  </si>
  <si>
    <t>PTT (Partial thromboplastin time)</t>
  </si>
  <si>
    <t>pre_hematology_ptt_s</t>
  </si>
  <si>
    <t>Infection</t>
  </si>
  <si>
    <t>pre_PositiveCulture</t>
  </si>
  <si>
    <t>positive culture result prior to baseline?</t>
  </si>
  <si>
    <t>pre_positive_culture</t>
  </si>
  <si>
    <t>L6FPBRPB</t>
  </si>
  <si>
    <t>pre_PositiveCultureSrc</t>
  </si>
  <si>
    <t>positiveCultureSrc</t>
  </si>
  <si>
    <t>source of positive culture prior to baseline</t>
  </si>
  <si>
    <t>pre_positive_culture_src</t>
  </si>
  <si>
    <t>L6FPBSRC</t>
  </si>
  <si>
    <t>pre_PositiveCultureDate</t>
  </si>
  <si>
    <t>date of positive culture prior to baseline</t>
  </si>
  <si>
    <t>pre_positive_culture_date</t>
  </si>
  <si>
    <t>L6FPBDT</t>
  </si>
  <si>
    <t>pre_PositiveCultureTime</t>
  </si>
  <si>
    <t>time of positive culture prior to baseline</t>
  </si>
  <si>
    <t>pre_positive_culture_time</t>
  </si>
  <si>
    <t>L6FPBTM</t>
  </si>
  <si>
    <t>pre_PositiveCultureOrganismCode1</t>
  </si>
  <si>
    <t>positiveCultureOrganism</t>
  </si>
  <si>
    <t>organism code of positive culture prior to baseline</t>
  </si>
  <si>
    <t>pre_positive_culture_organism_code1</t>
  </si>
  <si>
    <t>L6FPBOC1</t>
  </si>
  <si>
    <t>pre_PositiveCultureOrganismCode2</t>
  </si>
  <si>
    <t>organism code-2 of positive culture prior to baseline</t>
  </si>
  <si>
    <t>pre_positive_culture_organism_code2</t>
  </si>
  <si>
    <t>L6FPBOC2</t>
  </si>
  <si>
    <t>pre_PositiveCultureOrganismCode3</t>
  </si>
  <si>
    <t>organism code-3 of positive culture prior to baseline</t>
  </si>
  <si>
    <t>pre_positive_culture_organism_code3</t>
  </si>
  <si>
    <t>L6FPBOC3</t>
  </si>
  <si>
    <t>pre_Antibiotics</t>
  </si>
  <si>
    <t>Antibiotic therapy prior to baseline</t>
  </si>
  <si>
    <t>pre_antibiotics</t>
  </si>
  <si>
    <t>L6FPBAB</t>
  </si>
  <si>
    <t>OC9ATPR</t>
  </si>
  <si>
    <t>pre_AntibioticsCode1</t>
  </si>
  <si>
    <t>antibiotic Prior to Baseline-Code 1</t>
  </si>
  <si>
    <t>pre_antibiotics_code1</t>
  </si>
  <si>
    <t>L6FPBAC1</t>
  </si>
  <si>
    <t>OC9ATBC1</t>
  </si>
  <si>
    <t>pre_AntibioticsCode2</t>
  </si>
  <si>
    <t>antibiotic Prior to Baseline-Code 2</t>
  </si>
  <si>
    <t>pre_antibiotics_code2</t>
  </si>
  <si>
    <t>L6FPBAC2</t>
  </si>
  <si>
    <t>OC9ATBC2</t>
  </si>
  <si>
    <t>pre_AntibioticsCode3</t>
  </si>
  <si>
    <t>antibiotic Prior to Baseline-Code 3</t>
  </si>
  <si>
    <t>pre_antibiotics_code3</t>
  </si>
  <si>
    <t>L6FPBAC3</t>
  </si>
  <si>
    <t>OC9ATBC3</t>
  </si>
  <si>
    <t>Other Medication</t>
  </si>
  <si>
    <t>pre_OtherMedTargetDate</t>
  </si>
  <si>
    <t>Other Meds: Target Date</t>
  </si>
  <si>
    <t>pre_other_med_target_date</t>
  </si>
  <si>
    <t>pre_OtherMedTargetTime</t>
  </si>
  <si>
    <t>Other Meds: Target Time</t>
  </si>
  <si>
    <t>pre_other_med_target_time</t>
  </si>
  <si>
    <t>pre_Anticonvulsants</t>
  </si>
  <si>
    <t>anticonvulsants</t>
  </si>
  <si>
    <t>Other Meds: Anti-Convulsants</t>
  </si>
  <si>
    <t>pre_anticonvulsants</t>
  </si>
  <si>
    <t>pre_Anticonvulsants1</t>
  </si>
  <si>
    <t>Medications: Anti-Convulsants #1</t>
  </si>
  <si>
    <t>pre_anticonvulsants1</t>
  </si>
  <si>
    <t>pre_Anticonvulsants2</t>
  </si>
  <si>
    <t>Medications: Anti-Convulsants #2</t>
  </si>
  <si>
    <t>pre_anticonvulsants2</t>
  </si>
  <si>
    <t>pre_Anticonvulsants3</t>
  </si>
  <si>
    <t>Medications Anti-Convulsants #3</t>
  </si>
  <si>
    <t>pre_anticonvulsants3</t>
  </si>
  <si>
    <t>pre_Anticonvulsants_b</t>
  </si>
  <si>
    <t>Anticonvulsants at baseline</t>
  </si>
  <si>
    <t>pre_anticonvulsants_b</t>
  </si>
  <si>
    <t>anticon_0</t>
  </si>
  <si>
    <t>pre_AnalgesicsSedatives</t>
  </si>
  <si>
    <t>analgesics</t>
  </si>
  <si>
    <t>pre_analgesics_sedatives</t>
  </si>
  <si>
    <t>pre_AnalgesicsSedatives1</t>
  </si>
  <si>
    <t>Medications: Analgesics/Sedatives #1</t>
  </si>
  <si>
    <t>pre_analgesics_sedatives1</t>
  </si>
  <si>
    <t>pre_AnalgesicsSedatives2</t>
  </si>
  <si>
    <t>Medications Analgesics/Sedatives #2</t>
  </si>
  <si>
    <t>pre_analgesics_sedatives2</t>
  </si>
  <si>
    <t>pre_AnalgesicsSedatives3</t>
  </si>
  <si>
    <t>Medications Analgesics/Sedatives #3</t>
  </si>
  <si>
    <t>pre_analgesics_sedatives3</t>
  </si>
  <si>
    <t>pre_Antipyretics1</t>
  </si>
  <si>
    <t>antipyretics</t>
  </si>
  <si>
    <t>Medications: Antipyretics #1</t>
  </si>
  <si>
    <t>pre_antipyretics1</t>
  </si>
  <si>
    <t>pre_Antipyretics2</t>
  </si>
  <si>
    <t>Medications: Antipyretics #2</t>
  </si>
  <si>
    <t>pre_antipyretics2</t>
  </si>
  <si>
    <t>pre_Antipyretics3</t>
  </si>
  <si>
    <t>Medications Antipyretics #3</t>
  </si>
  <si>
    <t>pre_antipyretics3</t>
  </si>
  <si>
    <t>pre_Paralytics1</t>
  </si>
  <si>
    <t>paralytics</t>
  </si>
  <si>
    <t>Medications: Paralytics #1</t>
  </si>
  <si>
    <t>pre_paralytics1</t>
  </si>
  <si>
    <t>pre_Paralytics2</t>
  </si>
  <si>
    <t>Medications Paralytics #2</t>
  </si>
  <si>
    <t>pre_paralytics2</t>
  </si>
  <si>
    <t>pre_Paralytics3</t>
  </si>
  <si>
    <t>Medications Paralytics #3</t>
  </si>
  <si>
    <t>pre_paralytics3</t>
  </si>
  <si>
    <t>pre_OtherMedFluidIntake_ccPerKg</t>
  </si>
  <si>
    <t>I/O: Fluid Intake</t>
  </si>
  <si>
    <t>pre_other_med_fluid_intake_cc_per_kg</t>
  </si>
  <si>
    <t>pre_OtherMedUrineOutput_ccPerKg</t>
  </si>
  <si>
    <t>I/O: Urine Output</t>
  </si>
  <si>
    <t>pre_other_med_urine_output_cc_per_kg</t>
  </si>
  <si>
    <t>Imaging</t>
  </si>
  <si>
    <t>pre_HeadSonogram</t>
  </si>
  <si>
    <t>head sonogram?</t>
  </si>
  <si>
    <t>pre_head_sonogram</t>
  </si>
  <si>
    <t>pre_HeadSonogramDate</t>
  </si>
  <si>
    <t>date of head sonogram</t>
  </si>
  <si>
    <t>pre_head_sonogram_date</t>
  </si>
  <si>
    <t>pre_HeadSonogramTime</t>
  </si>
  <si>
    <t>time of head sonogram</t>
  </si>
  <si>
    <t>pre_head_sonogram_time</t>
  </si>
  <si>
    <t>pre_HeadSonogramResult1</t>
  </si>
  <si>
    <t>imaging</t>
  </si>
  <si>
    <t>results of head sonogram - A</t>
  </si>
  <si>
    <t>pre_head_sonogram_result1</t>
  </si>
  <si>
    <t>pre_HeadSonogramResult2</t>
  </si>
  <si>
    <t>results of head sonogram - B</t>
  </si>
  <si>
    <t>pre_head_sonogram_result2</t>
  </si>
  <si>
    <t>pre_HeadSonogramResult3</t>
  </si>
  <si>
    <t>results of head sonogram - C</t>
  </si>
  <si>
    <t>pre_head_sonogram_result3</t>
  </si>
  <si>
    <t>pre_HeadSonogramResult4</t>
  </si>
  <si>
    <t>results of head sonogram - D</t>
  </si>
  <si>
    <t>pre_head_sonogram_result4</t>
  </si>
  <si>
    <t>pre_HeadSonogramResult5</t>
  </si>
  <si>
    <t>results of head sonogram - E</t>
  </si>
  <si>
    <t>pre_head_sonogram_result5</t>
  </si>
  <si>
    <t>pre_HeadSonogramResult6</t>
  </si>
  <si>
    <t>results of head sonogram - F</t>
  </si>
  <si>
    <t>pre_head_sonogram_result6</t>
  </si>
  <si>
    <t>pre_HeadSonogramResult7</t>
  </si>
  <si>
    <t>results of head sonogram - G</t>
  </si>
  <si>
    <t>pre_head_sonogram_result7</t>
  </si>
  <si>
    <t>pre_HeadSonogramResult8</t>
  </si>
  <si>
    <t>results of head sonogram - H</t>
  </si>
  <si>
    <t>pre_head_sonogram_result8</t>
  </si>
  <si>
    <t>pre_HeadSonogramResultText</t>
  </si>
  <si>
    <t>results of head sonogram - specify (other)</t>
  </si>
  <si>
    <t>pre_head_sonogram_result_text</t>
  </si>
  <si>
    <t>pre_HeadCT</t>
  </si>
  <si>
    <t>head CT?</t>
  </si>
  <si>
    <t>pre_head_ct</t>
  </si>
  <si>
    <t>pre_HeadCTDate</t>
  </si>
  <si>
    <t>date of head CT</t>
  </si>
  <si>
    <t>pre_head_ct_date</t>
  </si>
  <si>
    <t>pre_HeadCTTime</t>
  </si>
  <si>
    <t>time of head CT</t>
  </si>
  <si>
    <t>pre_head_ct_time</t>
  </si>
  <si>
    <t>pre_HeadCTResult1</t>
  </si>
  <si>
    <t>results of head CT - A</t>
  </si>
  <si>
    <t>pre_head_ct_result1</t>
  </si>
  <si>
    <t>pre_HeadCTResult2</t>
  </si>
  <si>
    <t>results of head CT - B</t>
  </si>
  <si>
    <t>pre_head_ct_result2</t>
  </si>
  <si>
    <t>pre_HeadCTResult3</t>
  </si>
  <si>
    <t>results of head CT - C</t>
  </si>
  <si>
    <t>pre_head_ct_result3</t>
  </si>
  <si>
    <t>pre_HeadCTResult4</t>
  </si>
  <si>
    <t>results of head CT - D</t>
  </si>
  <si>
    <t>pre_head_ct_result4</t>
  </si>
  <si>
    <t>pre_HeadCTResult5</t>
  </si>
  <si>
    <t>results of head CT - E</t>
  </si>
  <si>
    <t>pre_head_ct_result5</t>
  </si>
  <si>
    <t>pre_HeadCTResult6</t>
  </si>
  <si>
    <t>results of head CT - F</t>
  </si>
  <si>
    <t>pre_head_ct_result6</t>
  </si>
  <si>
    <t>pre_HeadCTResult7</t>
  </si>
  <si>
    <t>results of head CT - G</t>
  </si>
  <si>
    <t>pre_head_ct_result7</t>
  </si>
  <si>
    <t>pre_HeadCTResult8</t>
  </si>
  <si>
    <t>results of head CT - H</t>
  </si>
  <si>
    <t>pre_head_ct_result8</t>
  </si>
  <si>
    <t>pre_HeadCTResultText</t>
  </si>
  <si>
    <t>results of head CT - specify (other)</t>
  </si>
  <si>
    <t>pre_head_ct_result_text</t>
  </si>
  <si>
    <t>pre_BrainMRI</t>
  </si>
  <si>
    <t>brain MRI?</t>
  </si>
  <si>
    <t>pre_brain_mri</t>
  </si>
  <si>
    <t>pre_BrainMRIDate</t>
  </si>
  <si>
    <t>date of brain MRI</t>
  </si>
  <si>
    <t>pre_brain_mri_date</t>
  </si>
  <si>
    <t>pre_BrainMRITime</t>
  </si>
  <si>
    <t>time of brain MRI</t>
  </si>
  <si>
    <t>pre_brain_mri_time</t>
  </si>
  <si>
    <t>pre_BrainMRIResult1</t>
  </si>
  <si>
    <t>results of brain MRI - A</t>
  </si>
  <si>
    <t>pre_brain_mri_result1</t>
  </si>
  <si>
    <t>pre_BrainMRIResult2</t>
  </si>
  <si>
    <t>results of brain MRI - B</t>
  </si>
  <si>
    <t>pre_brain_mri_result2</t>
  </si>
  <si>
    <t>pre_BrainMRIResult3</t>
  </si>
  <si>
    <t>results of brain MRI - C</t>
  </si>
  <si>
    <t>pre_brain_mri_result3</t>
  </si>
  <si>
    <t>pre_BrainMRIResult4</t>
  </si>
  <si>
    <t>results of brain MRI - D</t>
  </si>
  <si>
    <t>pre_brain_mri_result4</t>
  </si>
  <si>
    <t>pre_BrainMRIResult5</t>
  </si>
  <si>
    <t>results of brain MRI - E</t>
  </si>
  <si>
    <t>pre_brain_mri_result5</t>
  </si>
  <si>
    <t>pre_BrainMRIResult6</t>
  </si>
  <si>
    <t>results of brain MRI - F</t>
  </si>
  <si>
    <t>pre_brain_mri_result6</t>
  </si>
  <si>
    <t>pre_BrainMRIResult7</t>
  </si>
  <si>
    <t>results of brain MRI - G</t>
  </si>
  <si>
    <t>pre_brain_mri_result7</t>
  </si>
  <si>
    <t>pre_BrainMRIResult8</t>
  </si>
  <si>
    <t>results of brain MRI - H</t>
  </si>
  <si>
    <t>pre_brain_mri_result8</t>
  </si>
  <si>
    <t>pre_BrainMRIResultText</t>
  </si>
  <si>
    <t>results of brain MRI - specify (other)</t>
  </si>
  <si>
    <t>pre_brain_mri_result_text</t>
  </si>
  <si>
    <t>Neuro Exam</t>
  </si>
  <si>
    <t>pre_NeuroExam</t>
  </si>
  <si>
    <t>Screening Neuro Exam Done?</t>
  </si>
  <si>
    <t>pre_neuro_exam</t>
  </si>
  <si>
    <t>LH2NEXDN</t>
  </si>
  <si>
    <t>OC2NEXDN</t>
  </si>
  <si>
    <t>pre_NoNeuroExamReason</t>
  </si>
  <si>
    <t>noNeuroExamReason</t>
  </si>
  <si>
    <t>Reason Screening Neuro Exam Not Done</t>
  </si>
  <si>
    <t>pre_no_neuro_exam_reason</t>
  </si>
  <si>
    <t>LH2NENDR</t>
  </si>
  <si>
    <t>OC2NENDR</t>
  </si>
  <si>
    <t>pre_NeuroExamSignModerateSevereHIE3Category</t>
  </si>
  <si>
    <t>Signs of mod or severe HIE in 3 of 6 categories?</t>
  </si>
  <si>
    <t>pre_neuro_exam_sign_moderate_severe_hie3category</t>
  </si>
  <si>
    <t>LH2SIGN</t>
  </si>
  <si>
    <t>OC2SIGN</t>
  </si>
  <si>
    <t>pre_NeuroExamLevelConsciousness</t>
  </si>
  <si>
    <t>signOfHIELvlOfCons</t>
  </si>
  <si>
    <t>Screening Neuro Exam: Level of Consciousness</t>
  </si>
  <si>
    <t>pre_neuro_exam_level_consciousness</t>
  </si>
  <si>
    <t>LH2CON</t>
  </si>
  <si>
    <t>OC2CON</t>
  </si>
  <si>
    <t>pre_NeuroExamSpontaneousActivity</t>
  </si>
  <si>
    <t>signOfHIESpontaneousActivity</t>
  </si>
  <si>
    <t>Screening Neuro Exam: Spontaneous Activity</t>
  </si>
  <si>
    <t>pre_neuro_exam_spontaneous_activity</t>
  </si>
  <si>
    <t>LH2SPON</t>
  </si>
  <si>
    <t>OC2SPON</t>
  </si>
  <si>
    <t>pre_NeuroExamPosture</t>
  </si>
  <si>
    <t>signOfHIEPosture</t>
  </si>
  <si>
    <t>Screening Neuro Exam: Posture</t>
  </si>
  <si>
    <t>pre_neuro_exam_posture</t>
  </si>
  <si>
    <t>LH2POST</t>
  </si>
  <si>
    <t>OC2POST</t>
  </si>
  <si>
    <t>pre_NeuroExamTone</t>
  </si>
  <si>
    <t>signOfHIETone</t>
  </si>
  <si>
    <t>Screening Neuro Exam: Tone</t>
  </si>
  <si>
    <t>pre_neuro_exam_tone</t>
  </si>
  <si>
    <t>LH2TONE</t>
  </si>
  <si>
    <t>OC2TONE</t>
  </si>
  <si>
    <t>pre_NeuroExamSuck</t>
  </si>
  <si>
    <t>signOfHIESuck</t>
  </si>
  <si>
    <t>Screening Neuro Exam: Suck</t>
  </si>
  <si>
    <t>pre_neuro_exam_suck</t>
  </si>
  <si>
    <t>LH2SUCK</t>
  </si>
  <si>
    <t>OC2SUCK</t>
  </si>
  <si>
    <t>pre_NeuroExamMoro</t>
  </si>
  <si>
    <t>signOfHIEMoro</t>
  </si>
  <si>
    <t>Screening Neuro Exam: Moro</t>
  </si>
  <si>
    <t>pre_neuro_exam_moro</t>
  </si>
  <si>
    <t>LH2MORO</t>
  </si>
  <si>
    <t>OC2MORO</t>
  </si>
  <si>
    <t>pre_NeuroExamPupils</t>
  </si>
  <si>
    <t>signOfHIEPupils</t>
  </si>
  <si>
    <t>Screening Neuro Exam: Pupils</t>
  </si>
  <si>
    <t>pre_neuro_exam_pupils</t>
  </si>
  <si>
    <t>LH2PUPL</t>
  </si>
  <si>
    <t>OC2PUPL</t>
  </si>
  <si>
    <t>pre_NeuroExamHeartRate</t>
  </si>
  <si>
    <t>signOfHIEHeartRate</t>
  </si>
  <si>
    <t>Screening Neuro Exam: Heart Rate</t>
  </si>
  <si>
    <t>pre_neuro_exam_heart_rate</t>
  </si>
  <si>
    <t>LH2HR</t>
  </si>
  <si>
    <t>OC2HR</t>
  </si>
  <si>
    <t>pre_NeuroExamRespiration</t>
  </si>
  <si>
    <t>signOfHIERespiratory</t>
  </si>
  <si>
    <t>Screening Neuro Exam: Respiration</t>
  </si>
  <si>
    <t>pre_neuro_exam_respiration</t>
  </si>
  <si>
    <t>LH2RESP</t>
  </si>
  <si>
    <t>OC2RESP</t>
  </si>
  <si>
    <t>pre_NeuroExamLevelConsciousnessScore</t>
  </si>
  <si>
    <t>pre_neuro_exam_level_consciousness_score</t>
  </si>
  <si>
    <t>pre_NeuroExamSpontaneousActivityScore</t>
  </si>
  <si>
    <t>pre_neuro_exam_spontaneous_activity_score</t>
  </si>
  <si>
    <t>pre_NeuroExamPostureScore</t>
  </si>
  <si>
    <t>pre_neuro_exam_posture_score</t>
  </si>
  <si>
    <t>pre_NeuroExamToneScore</t>
  </si>
  <si>
    <t>pre_neuro_exam_tone_score</t>
  </si>
  <si>
    <t>pre_NeuroExamSuckScore</t>
  </si>
  <si>
    <t>pre_neuro_exam_suck_score</t>
  </si>
  <si>
    <t>pre_NeuroExamMoroScore</t>
  </si>
  <si>
    <t>pre_neuro_exam_moro_score</t>
  </si>
  <si>
    <t>pre_NeuroExamPupilsScore</t>
  </si>
  <si>
    <t>pre_neuro_exam_pupils_score</t>
  </si>
  <si>
    <t>pre_NeuroExamHeartRateScore</t>
  </si>
  <si>
    <t>pre_neuro_exam_heart_rate_score</t>
  </si>
  <si>
    <t>pre_NeuroExamRespirationScore</t>
  </si>
  <si>
    <t>pre_neuro_exam_respiration_score</t>
  </si>
  <si>
    <t>pre_NeuroExamReflexScore</t>
  </si>
  <si>
    <t>pre_neuro_exam_reflex_score</t>
  </si>
  <si>
    <t>pre_NeuroExamANSScore</t>
  </si>
  <si>
    <t>pre_neuro_exam_ans_score</t>
  </si>
  <si>
    <t>pre_TotalModifiedSarnatScore</t>
  </si>
  <si>
    <t>total modified Sarnat scores of neuro exam in pre-intervention</t>
  </si>
  <si>
    <t>pre_total_modified_sarnat_score</t>
  </si>
  <si>
    <t>pre_NeuroExamDate</t>
  </si>
  <si>
    <t>Date of Screening Neuro Exam</t>
  </si>
  <si>
    <t>pre_neuro_exam_date</t>
  </si>
  <si>
    <t>LH2NEDAT</t>
  </si>
  <si>
    <t>OC2NDAT</t>
  </si>
  <si>
    <t>pre_NeuroExamTime</t>
  </si>
  <si>
    <t>Time of Screening Neuro Exam</t>
  </si>
  <si>
    <t>pre_neuro_exam_time</t>
  </si>
  <si>
    <t>LH2NETIM</t>
  </si>
  <si>
    <t>OC2NTIM</t>
  </si>
  <si>
    <t>pre_NeuroExamSedate</t>
  </si>
  <si>
    <t>Was infant sedated?</t>
  </si>
  <si>
    <t>pre_neuro_exam_sedate</t>
  </si>
  <si>
    <t>LH2SEDA</t>
  </si>
  <si>
    <t>OC2SEDA</t>
  </si>
  <si>
    <t>pre_NeuroExamSeizure</t>
  </si>
  <si>
    <t>Seizures?</t>
  </si>
  <si>
    <t>pre_neuro_exam_seizure</t>
  </si>
  <si>
    <t>LH2SEIZ</t>
  </si>
  <si>
    <t>OC2SEIZ</t>
  </si>
  <si>
    <t>Intervention</t>
  </si>
  <si>
    <t>temperatureTimeSlot_min</t>
  </si>
  <si>
    <t>Temperature Time Point Recording Interval ID</t>
  </si>
  <si>
    <t>temperature_time_slot_min</t>
  </si>
  <si>
    <t>L6ATMPRD</t>
  </si>
  <si>
    <t>OC6TINTV</t>
  </si>
  <si>
    <t>temperatureTimeSlotNoForm</t>
  </si>
  <si>
    <t>Temperature Time Point Interval-Not on Form</t>
  </si>
  <si>
    <t>temperature_time_slot_no_form</t>
  </si>
  <si>
    <t>OC6TINT</t>
  </si>
  <si>
    <t>temperatureDate</t>
  </si>
  <si>
    <t>Date of temperature recording: During Treatment</t>
  </si>
  <si>
    <t>temperature_date</t>
  </si>
  <si>
    <t>L6ARDDT</t>
  </si>
  <si>
    <t>OC6TTPDT</t>
  </si>
  <si>
    <t>temperatureTime</t>
  </si>
  <si>
    <t>Time of temperature recording: During Treatment</t>
  </si>
  <si>
    <t>temperature_time</t>
  </si>
  <si>
    <t>L6ARDTM</t>
  </si>
  <si>
    <t>OC6TTPTM</t>
  </si>
  <si>
    <t>skinTemperature_C</t>
  </si>
  <si>
    <t>Skin temperature recording: During Treatment</t>
  </si>
  <si>
    <t>skin_temperature_c</t>
  </si>
  <si>
    <t>L6ASKINT</t>
  </si>
  <si>
    <t>OC6TSKNT</t>
  </si>
  <si>
    <t>axillaryTemperature_C</t>
  </si>
  <si>
    <t>Axillary temperature recording: During Treatment</t>
  </si>
  <si>
    <t>axillary_temperature_c</t>
  </si>
  <si>
    <t>L6AAXILT</t>
  </si>
  <si>
    <t>OC6TAXIT</t>
  </si>
  <si>
    <t>esophagealTemperature_C</t>
  </si>
  <si>
    <t>Esophageal temperature recording: During Treatment</t>
  </si>
  <si>
    <t>esophageal_temperature_c</t>
  </si>
  <si>
    <t>L6AESPHT</t>
  </si>
  <si>
    <t>OC6TESOT</t>
  </si>
  <si>
    <t>blanketTemperature_C</t>
  </si>
  <si>
    <t>Blanket temperature recording: During Treatment</t>
  </si>
  <si>
    <t>blanket_temperature_c</t>
  </si>
  <si>
    <t>L6ABLNKT</t>
  </si>
  <si>
    <t>OC6TBLKT</t>
  </si>
  <si>
    <t>servoSetTemperature_C</t>
  </si>
  <si>
    <t>Servo set point temperature recording: During Treatment</t>
  </si>
  <si>
    <t>servo_set_temperature_c</t>
  </si>
  <si>
    <t>L6ASVOSP</t>
  </si>
  <si>
    <t>OC6TSSPT</t>
  </si>
  <si>
    <t>alterationSkinIntegrity</t>
  </si>
  <si>
    <t>Alteration Skin Integrity? recording: During Treatment</t>
  </si>
  <si>
    <t>alteration_skin_integrity</t>
  </si>
  <si>
    <t>OC6TASI</t>
  </si>
  <si>
    <t>shiver</t>
  </si>
  <si>
    <t>Shivering? recording: During Treatment</t>
  </si>
  <si>
    <t>OC6TSHIV</t>
  </si>
  <si>
    <t>cardioTimeSlot_min</t>
  </si>
  <si>
    <t>Cardio: Reading Interval ID</t>
  </si>
  <si>
    <t>cardio_time_slot_min</t>
  </si>
  <si>
    <t>LH6CVINT</t>
  </si>
  <si>
    <t>OC7INTV</t>
  </si>
  <si>
    <t>cardioDate</t>
  </si>
  <si>
    <t>cardio_date</t>
  </si>
  <si>
    <t>LH6CVRDT</t>
  </si>
  <si>
    <t>OC7CVDT</t>
  </si>
  <si>
    <t>cardioTime</t>
  </si>
  <si>
    <t>cardio_time</t>
  </si>
  <si>
    <t>LH6CVRTM</t>
  </si>
  <si>
    <t>OC7CVTM</t>
  </si>
  <si>
    <t>cardioSystolicBloodPressure_mmHg</t>
  </si>
  <si>
    <t>cardio_systolic_blood_pressure_mmhg</t>
  </si>
  <si>
    <t>LH6CVBPS</t>
  </si>
  <si>
    <t>OC7CBPS</t>
  </si>
  <si>
    <t>cardioDiastolicBloodPressure_mmHg</t>
  </si>
  <si>
    <t>cardio_diastolic_blood_pressure_mmhg</t>
  </si>
  <si>
    <t>LH6CVBPD</t>
  </si>
  <si>
    <t>OC7CBPD</t>
  </si>
  <si>
    <t>cardioHeartRate_BPM</t>
  </si>
  <si>
    <t>cardio_heart_rate_bpm</t>
  </si>
  <si>
    <t>LH6CVHR</t>
  </si>
  <si>
    <t>OC7CVHR</t>
  </si>
  <si>
    <t>cardioVolumeExpand</t>
  </si>
  <si>
    <t>cardio_volume_expand</t>
  </si>
  <si>
    <t>LH6CVVE</t>
  </si>
  <si>
    <t>OC7CVVE</t>
  </si>
  <si>
    <t>cardioInotropicAgent</t>
  </si>
  <si>
    <t>cardio_inotropic_agent</t>
  </si>
  <si>
    <t>LH6CVIA</t>
  </si>
  <si>
    <t>OC7CVIA</t>
  </si>
  <si>
    <t>cardioBloodTransfusion</t>
  </si>
  <si>
    <t>cardio_blood_transfusion</t>
  </si>
  <si>
    <t>LH6CVBT</t>
  </si>
  <si>
    <t>OC7CVBT</t>
  </si>
  <si>
    <t>cardioPlatelets</t>
  </si>
  <si>
    <t>cardio_platelets</t>
  </si>
  <si>
    <t>LH6CVPLT</t>
  </si>
  <si>
    <t>OC7CPLT</t>
  </si>
  <si>
    <t>respiratoryTimeSlot_min</t>
  </si>
  <si>
    <t>Respiratory Readings Interval-ID</t>
  </si>
  <si>
    <t>respiratory_time_slot_min</t>
  </si>
  <si>
    <t>LH6RSINT</t>
  </si>
  <si>
    <t>OC8INTV</t>
  </si>
  <si>
    <t>respiratoryDate</t>
  </si>
  <si>
    <t>respiratory_date</t>
  </si>
  <si>
    <t>LH6RSRDT</t>
  </si>
  <si>
    <t>OC8RSRDT</t>
  </si>
  <si>
    <t>respiratoryTime</t>
  </si>
  <si>
    <t>respiratory_time</t>
  </si>
  <si>
    <t>LH6RSRTM</t>
  </si>
  <si>
    <t>OC8RSRTM</t>
  </si>
  <si>
    <t>respiratory_support_type</t>
  </si>
  <si>
    <t>LH6RSSPT</t>
  </si>
  <si>
    <t>OC8RSSPT</t>
  </si>
  <si>
    <t>respiratoryFiO2</t>
  </si>
  <si>
    <t>FiO2 (min: 0, max: 1)</t>
  </si>
  <si>
    <t>respiratory_fio2</t>
  </si>
  <si>
    <t>LH6RSFIO</t>
  </si>
  <si>
    <t>OC8RSFIO</t>
  </si>
  <si>
    <t>respiratoryRate_Hz</t>
  </si>
  <si>
    <t>respiratory_rate_hz</t>
  </si>
  <si>
    <t>LH6RSRHZ</t>
  </si>
  <si>
    <t>OC8RSRHZ</t>
  </si>
  <si>
    <t>respiratoryPIP_cmH2O</t>
  </si>
  <si>
    <t>respiratory_pip_cmh2o</t>
  </si>
  <si>
    <t>LH6RSPDP</t>
  </si>
  <si>
    <t>OC8RSPDP</t>
  </si>
  <si>
    <t>respiratoryMAP_cmH2O</t>
  </si>
  <si>
    <t>respiratory_map_cmh2o</t>
  </si>
  <si>
    <t>LH6RSMAP</t>
  </si>
  <si>
    <t>OC8RSMAP</t>
  </si>
  <si>
    <t>respiratoryPEEP_cmH2O</t>
  </si>
  <si>
    <t>respiratory_peep_cmh2o</t>
  </si>
  <si>
    <t>LH6RSPEP</t>
  </si>
  <si>
    <t>OC8RSPEP</t>
  </si>
  <si>
    <t>bloodGasTimeSlot_min</t>
  </si>
  <si>
    <t>blood gas measurement interval-id</t>
  </si>
  <si>
    <t>blood_gas_time_slot_min</t>
  </si>
  <si>
    <t>LH6BGINT</t>
  </si>
  <si>
    <t>bloodGasDate</t>
  </si>
  <si>
    <t>blood_gas_date</t>
  </si>
  <si>
    <t>LH6BGDT</t>
  </si>
  <si>
    <t>OC7BGDT</t>
  </si>
  <si>
    <t>bloodGasTime</t>
  </si>
  <si>
    <t>blood_gas_time</t>
  </si>
  <si>
    <t>LH6BGTM</t>
  </si>
  <si>
    <t>OC7BGTM</t>
  </si>
  <si>
    <t>blood_gas_src</t>
  </si>
  <si>
    <t>OC7BGSRC</t>
  </si>
  <si>
    <t>bloodGasPH</t>
  </si>
  <si>
    <t>blood_gas_ph</t>
  </si>
  <si>
    <t>LH6BGPH</t>
  </si>
  <si>
    <t>OC7BGPH</t>
  </si>
  <si>
    <t>bloodGasPCO2_mmHg</t>
  </si>
  <si>
    <t>blood_gas_pco2_mmhg</t>
  </si>
  <si>
    <t>LH6BGPCO</t>
  </si>
  <si>
    <t>OC7BPCO</t>
  </si>
  <si>
    <t>bloodGasPO2_mmHg</t>
  </si>
  <si>
    <t>blood_gas_po2_mmhg</t>
  </si>
  <si>
    <t>LH6BGPO2</t>
  </si>
  <si>
    <t>OC7BPO2</t>
  </si>
  <si>
    <t>bloodGasHCO3_mEqPerL</t>
  </si>
  <si>
    <t>blood_gas_hco3_meqperl</t>
  </si>
  <si>
    <t>LH6BGHCO</t>
  </si>
  <si>
    <t>OC7BHCO</t>
  </si>
  <si>
    <t>bloodGasBaseDeficit_mEqPerL</t>
  </si>
  <si>
    <t>blood_gas_base_deficit_meqperl</t>
  </si>
  <si>
    <t>LH6BGBD</t>
  </si>
  <si>
    <t>OC7BGBD</t>
  </si>
  <si>
    <t>bloodGasPHCorrect</t>
  </si>
  <si>
    <t>blood_gas_ph_correct</t>
  </si>
  <si>
    <t>OC7BCPH</t>
  </si>
  <si>
    <t>bloodGasPCO2Correct_mmHg</t>
  </si>
  <si>
    <t>blood_gas_pco2correct_mmhg</t>
  </si>
  <si>
    <t>OC7BCPCO</t>
  </si>
  <si>
    <t>bloodGasPO2Correct_mmHg</t>
  </si>
  <si>
    <t>blood_gas_po2correct_mmhg</t>
  </si>
  <si>
    <t>OC7BCPO2</t>
  </si>
  <si>
    <t>bloodGasHCO3Correct_mEqPerL</t>
  </si>
  <si>
    <t>blood_gas_hco3correct_meqperl</t>
  </si>
  <si>
    <t>OC7BCHCO</t>
  </si>
  <si>
    <t>bloodGasBaseDeficitCorrect_mEqPerL</t>
  </si>
  <si>
    <t>blood_gas_base_deficit_correct_meqperl</t>
  </si>
  <si>
    <t>OC7BCBD</t>
  </si>
  <si>
    <t>hematology</t>
  </si>
  <si>
    <t>OC8HELAB</t>
  </si>
  <si>
    <t>hematologyTimeSlot_min</t>
  </si>
  <si>
    <t>hemotology interval-ID</t>
  </si>
  <si>
    <t>hematology_time_slot_min</t>
  </si>
  <si>
    <t>LH6HEINT</t>
  </si>
  <si>
    <t>hematologyDate</t>
  </si>
  <si>
    <t>hematology_date</t>
  </si>
  <si>
    <t>LH6HERDT</t>
  </si>
  <si>
    <t>hematologyTime</t>
  </si>
  <si>
    <t>hematology_time</t>
  </si>
  <si>
    <t>LH6HERTM</t>
  </si>
  <si>
    <t>hematologyWBC_cPermuL</t>
  </si>
  <si>
    <t>hematology_wbc_cpermul</t>
  </si>
  <si>
    <t>LH / OC: cPermuL</t>
  </si>
  <si>
    <t>LH6HEWBC</t>
  </si>
  <si>
    <t>OC8HEWBC</t>
  </si>
  <si>
    <t>hematologyWBCMin_cPermuL</t>
  </si>
  <si>
    <t>minimum wbc</t>
  </si>
  <si>
    <t>hematology_wbcmin_cpermul</t>
  </si>
  <si>
    <t>hematologyWBCMax_cPermuL</t>
  </si>
  <si>
    <t>maximum wbc</t>
  </si>
  <si>
    <t>hematology_wbcmax_cpermul</t>
  </si>
  <si>
    <t>hematologyHemoglobin_gPerdL</t>
  </si>
  <si>
    <t>hematology_hemoglobin_gperdl</t>
  </si>
  <si>
    <t>LH6HEHGB</t>
  </si>
  <si>
    <t>OC8HEHGB</t>
  </si>
  <si>
    <t>hematologyPolymorphNeutrophils_cPermuL</t>
  </si>
  <si>
    <t>hematology_polymorph_neutrophils_cpermul</t>
  </si>
  <si>
    <t>percentage</t>
  </si>
  <si>
    <t>LH6HEDCP</t>
  </si>
  <si>
    <t>OC8HEDCP</t>
  </si>
  <si>
    <t>hematologyMonocytes_cPermuL</t>
  </si>
  <si>
    <t>hematology_monocytes_cpermul</t>
  </si>
  <si>
    <t>LH6HEDCM</t>
  </si>
  <si>
    <t>OC8HEDCM</t>
  </si>
  <si>
    <t>hematologyLymphocytes_cPermuL</t>
  </si>
  <si>
    <t>hematology_lymphocytes_cpermul</t>
  </si>
  <si>
    <t>LH / OC: cPernL</t>
  </si>
  <si>
    <t>LH6HEDCL</t>
  </si>
  <si>
    <t>OC8HEDCL</t>
  </si>
  <si>
    <t>hematologyPlatelet_cPermuL</t>
  </si>
  <si>
    <t>hematology_platelet_cpermul</t>
  </si>
  <si>
    <t>LH6HEPCT</t>
  </si>
  <si>
    <t>OC8HEPCT</t>
  </si>
  <si>
    <t>hematologyPT_s</t>
  </si>
  <si>
    <t>hematology_pts</t>
  </si>
  <si>
    <t>LH6HEPT</t>
  </si>
  <si>
    <t>OC8HEPT</t>
  </si>
  <si>
    <t>hematologyPTT_s</t>
  </si>
  <si>
    <t>hematology_ptts</t>
  </si>
  <si>
    <t>LH6HEPTT</t>
  </si>
  <si>
    <t>OC8HEPTT</t>
  </si>
  <si>
    <t>hematologyHematocritMin</t>
  </si>
  <si>
    <t>minimum hematocrit (percentage)</t>
  </si>
  <si>
    <t>hematology_hematocrit_min</t>
  </si>
  <si>
    <t>L6HMNHCT</t>
  </si>
  <si>
    <t>OC9HMMN</t>
  </si>
  <si>
    <t>hematologyHematocritMinDate</t>
  </si>
  <si>
    <t>date of minimum hematocrit</t>
  </si>
  <si>
    <t>hematology_hematocrit_min_date</t>
  </si>
  <si>
    <t>OC9HMDA</t>
  </si>
  <si>
    <t>hematologyHematocritMax</t>
  </si>
  <si>
    <t>maximum hematocrit (percentage)</t>
  </si>
  <si>
    <t>hematology_hematocrit_max</t>
  </si>
  <si>
    <t>hematologyHematocritMaxDate</t>
  </si>
  <si>
    <t>date of maximum hematocrit</t>
  </si>
  <si>
    <t>hematology_hematocrit_max_date</t>
  </si>
  <si>
    <t>hematologyPlateletMin_cPermuL</t>
  </si>
  <si>
    <t>minimum platelet count</t>
  </si>
  <si>
    <t>hematology_platelet_min_cpermul</t>
  </si>
  <si>
    <t>L6HMNPLC</t>
  </si>
  <si>
    <t>OC9PCMN</t>
  </si>
  <si>
    <t>hematologyPlateletMin_cPermuLDate</t>
  </si>
  <si>
    <t>date of minimum platelet count</t>
  </si>
  <si>
    <t>hematology_platelet_min_cpermul_date</t>
  </si>
  <si>
    <t>OC9PCDA</t>
  </si>
  <si>
    <t>Blood Value</t>
  </si>
  <si>
    <t>bloodValueBunBaseline_mgPerdL</t>
  </si>
  <si>
    <t>baseline bun (mg/dL)</t>
  </si>
  <si>
    <t>blood_value_bun_baseline_mgperdl</t>
  </si>
  <si>
    <t>OC9BNBL</t>
  </si>
  <si>
    <t>bloodValueBunBaseline_mgPerdLDate</t>
  </si>
  <si>
    <t>date of baseline bun</t>
  </si>
  <si>
    <t>blood_value_bun_baseline_mgperdl_date</t>
  </si>
  <si>
    <t>OC9BNDAT</t>
  </si>
  <si>
    <t>bloodValueCreatinineBaseline_mgPerdL</t>
  </si>
  <si>
    <t>baseline creatinine (mg/dL)</t>
  </si>
  <si>
    <t>blood_value_creatinine_baseline_mgperdl</t>
  </si>
  <si>
    <t>OC9CRBL</t>
  </si>
  <si>
    <t>bloodValueCreatinineBaseline_mgPerdLDate</t>
  </si>
  <si>
    <t>date of baseline creatinine</t>
  </si>
  <si>
    <t>blood_value_creatinine_baseline_mgperdl_date</t>
  </si>
  <si>
    <t>OC9CRDAT</t>
  </si>
  <si>
    <t>bloodValueASTSGOTBaseline_UPerL</t>
  </si>
  <si>
    <t>baseline AST/SGOT (U/L)</t>
  </si>
  <si>
    <t>blood_value_ast_sgot_baseline_uperl</t>
  </si>
  <si>
    <t>OC9ASBL</t>
  </si>
  <si>
    <t>bloodValueASTSGOTBaseline_UPerLDate</t>
  </si>
  <si>
    <t>date of baseline AST/SGOT</t>
  </si>
  <si>
    <t>blood_value_ast_sgot_baseline_uperl_date</t>
  </si>
  <si>
    <t>OC9ASDAT</t>
  </si>
  <si>
    <t>bloodValueALTSGPTBaseline_UPerL</t>
  </si>
  <si>
    <t>baseline ALT/SGPT (U/L)</t>
  </si>
  <si>
    <t>blood_value_alt_sgpt_baseline_uperl</t>
  </si>
  <si>
    <t>OC9ALBL</t>
  </si>
  <si>
    <t>bloodValueALTSGPTBaseline_UPerLDate</t>
  </si>
  <si>
    <t>date of baseline ALT/SGPT</t>
  </si>
  <si>
    <t>blood_value_alt_sgpt_baseline_uperl_date</t>
  </si>
  <si>
    <t>OC9ALDAT</t>
  </si>
  <si>
    <t>bloodValueTotalBilirubinBaseline_mgPerdL</t>
  </si>
  <si>
    <t>baseline total Bilirubin (mg/dL)</t>
  </si>
  <si>
    <t>blood_value_total_bilirubin_baseline_mgperdl</t>
  </si>
  <si>
    <t>OC9TBBL</t>
  </si>
  <si>
    <t>bloodValueTotalBilirubinBaseline_mgPerdLDate</t>
  </si>
  <si>
    <t>date of baseline total Bilirubin</t>
  </si>
  <si>
    <t>blood_value_total_bilirubin_baseline_mgperdl_date</t>
  </si>
  <si>
    <t>OC9TBDAT</t>
  </si>
  <si>
    <t>bloodValuePHMin</t>
  </si>
  <si>
    <t>minimum pH of blood value</t>
  </si>
  <si>
    <t>blood_value_ph_min</t>
  </si>
  <si>
    <t>L6BVNPH</t>
  </si>
  <si>
    <t>OC9PHMN</t>
  </si>
  <si>
    <t>bloodValuePHMinDate</t>
  </si>
  <si>
    <t>date of minimum pH of blood value</t>
  </si>
  <si>
    <t>blood_value_ph_min_date</t>
  </si>
  <si>
    <t>L6BVNPHD</t>
  </si>
  <si>
    <t>OC9PMID</t>
  </si>
  <si>
    <t>bloodValueHCO3Min_mEqPerL</t>
  </si>
  <si>
    <t>minimum HCO3 (mEq/L or mmol/L) of blood value</t>
  </si>
  <si>
    <t>blood_value_hco3min_meqperl</t>
  </si>
  <si>
    <t>L6BVNHCO</t>
  </si>
  <si>
    <t>OC9HCMN</t>
  </si>
  <si>
    <t>bloodValueHCO3Min_mEqPerLDate</t>
  </si>
  <si>
    <t>date of minimum HCO3 of blood value</t>
  </si>
  <si>
    <t>blood_value_hco3min_meqperl_date</t>
  </si>
  <si>
    <t>L6BVNHCD</t>
  </si>
  <si>
    <t>OC9HCDA</t>
  </si>
  <si>
    <t>bloodValueSerumNaMin_mEqPerL</t>
  </si>
  <si>
    <t>minimum serum sodium (mEq/L or mmol/L)</t>
  </si>
  <si>
    <t>blood_value_serum_na_min_meqperl</t>
  </si>
  <si>
    <t>L6BVNSS</t>
  </si>
  <si>
    <t>OC9SSMN</t>
  </si>
  <si>
    <t>bloodValueSerumNaMin_mEqPerLDate</t>
  </si>
  <si>
    <t>date of minimum serum sodium</t>
  </si>
  <si>
    <t>blood_value_serum_na_min_meqperl_date</t>
  </si>
  <si>
    <t>L6BVNSSD</t>
  </si>
  <si>
    <t>OC9SSDA</t>
  </si>
  <si>
    <t>bloodValueSerumKMin_mEqPerL</t>
  </si>
  <si>
    <t>minimum serum potassium (mEq/L or mmol/L)</t>
  </si>
  <si>
    <t>blood_value_serum_k_min_meqperl</t>
  </si>
  <si>
    <t>L6BVNSP</t>
  </si>
  <si>
    <t>OC9SPMN</t>
  </si>
  <si>
    <t>bloodValueSerumKMin_mEqPerLDate</t>
  </si>
  <si>
    <t>date of minimum serum potassium</t>
  </si>
  <si>
    <t>blood_value_serum_k_min_meqperl_date</t>
  </si>
  <si>
    <t>L6BVNSPD</t>
  </si>
  <si>
    <t>OC9SPDA</t>
  </si>
  <si>
    <t>bloodValueClMin_mEqPerL</t>
  </si>
  <si>
    <t>minimum chlorides (mEq/L or mmol/L)</t>
  </si>
  <si>
    <t>blood_value_cl_min_meqperl</t>
  </si>
  <si>
    <t>L6BVNCL</t>
  </si>
  <si>
    <t>OC9CHMN</t>
  </si>
  <si>
    <t>bloodValueClMin_mEqPerLDate</t>
  </si>
  <si>
    <t>date of minimum chlorides</t>
  </si>
  <si>
    <t>blood_value_cl_min_meqperl_date</t>
  </si>
  <si>
    <t>L6BVNCLD</t>
  </si>
  <si>
    <t>OC9CHDA</t>
  </si>
  <si>
    <t>bloodValueGlucoseMin_mgPerdL</t>
  </si>
  <si>
    <t>minimum glucose (mg/dL)</t>
  </si>
  <si>
    <t>blood_value_glucose_min_mgperdl</t>
  </si>
  <si>
    <t>L6BVNGL</t>
  </si>
  <si>
    <t>OC9GLMN</t>
  </si>
  <si>
    <t>bloodValueGlucoseMin_mgPerdLDate</t>
  </si>
  <si>
    <t>date of minimum glucose</t>
  </si>
  <si>
    <t>blood_value_glucose_min_mgperdl_date</t>
  </si>
  <si>
    <t>L6BVNGLD</t>
  </si>
  <si>
    <t>OC9GLDA</t>
  </si>
  <si>
    <t>bloodValueTotalCaMin_mgPerdL</t>
  </si>
  <si>
    <t>minimum total calcium (mg/dL)</t>
  </si>
  <si>
    <t>blood_value_total_ca_min_mgperdl</t>
  </si>
  <si>
    <t>L6BVNTC</t>
  </si>
  <si>
    <t>OC9TCMN</t>
  </si>
  <si>
    <t>bloodValueTotalCaMin_mgPerdLDate</t>
  </si>
  <si>
    <t>date of minimum total calcium</t>
  </si>
  <si>
    <t>blood_value_total_ca_min_mgperdl_date</t>
  </si>
  <si>
    <t>L6BVNTCD</t>
  </si>
  <si>
    <t>OC9TCDA</t>
  </si>
  <si>
    <t>bloodValueIonCaMin_mgPerdL</t>
  </si>
  <si>
    <t>minimum ionized calcium (mg/dL)</t>
  </si>
  <si>
    <t>blood_value_ion_ca_min_mgperdl</t>
  </si>
  <si>
    <t>L6BVNIC</t>
  </si>
  <si>
    <t>OC9IOMN</t>
  </si>
  <si>
    <t>bloodValueIonCaMin_mgPerdLDate</t>
  </si>
  <si>
    <t>date of minimum ionized calcium</t>
  </si>
  <si>
    <t>blood_value_ion_ca_min_mgperdl_date</t>
  </si>
  <si>
    <t>L6BVNICD</t>
  </si>
  <si>
    <t>OC9IODA</t>
  </si>
  <si>
    <t>bloodValueASTSGOTMin_UPerL</t>
  </si>
  <si>
    <t>minimum AST/SGOT (U/L)</t>
  </si>
  <si>
    <t>blood_value_ast_sgot_min_uperl</t>
  </si>
  <si>
    <t>OC9ASMN</t>
  </si>
  <si>
    <t>bloodValueASTSGOTMin_UPerLDate</t>
  </si>
  <si>
    <t>date of minimum AST/SGOT</t>
  </si>
  <si>
    <t>blood_value_ast_sgot_min_uperl_date</t>
  </si>
  <si>
    <t>OC9ASDA</t>
  </si>
  <si>
    <t>bloodValueALTSGPTMin_UPerL</t>
  </si>
  <si>
    <t>minimum ALT/SGPT (U/L)</t>
  </si>
  <si>
    <t>blood_value_alt_sgpt_min_uperl</t>
  </si>
  <si>
    <t>OC9ALMN</t>
  </si>
  <si>
    <t>bloodValueALTSGPTMin_UPerLDate</t>
  </si>
  <si>
    <t>date of minimum ALT/SGPT</t>
  </si>
  <si>
    <t>blood_value_alt_sgpt_min_uperl_date</t>
  </si>
  <si>
    <t>OC9ALDA</t>
  </si>
  <si>
    <t>bloodValueTotalBilirubinMin_mgPerdL</t>
  </si>
  <si>
    <t>minimum total Bilirubin (mg/dL)</t>
  </si>
  <si>
    <t>blood_value_total_bilirubin_min_mgperdl</t>
  </si>
  <si>
    <t>OC9TBMN</t>
  </si>
  <si>
    <t>bloodValueTotalBilirubinMin_mgPerdLDate</t>
  </si>
  <si>
    <t>date of minimum total Bilirubin</t>
  </si>
  <si>
    <t>blood_value_total_bilirubin_min_mgperdl_date</t>
  </si>
  <si>
    <t>OC9TBDA</t>
  </si>
  <si>
    <t>bloodValuePHMax</t>
  </si>
  <si>
    <t>maximum pH of blood value</t>
  </si>
  <si>
    <t>blood_value_ph_max</t>
  </si>
  <si>
    <t>L6BVXPH</t>
  </si>
  <si>
    <t>OC9PHMX</t>
  </si>
  <si>
    <t>bloodValuePHMaxDate</t>
  </si>
  <si>
    <t>date of maximum pH of blood value</t>
  </si>
  <si>
    <t>blood_value_ph_max_date</t>
  </si>
  <si>
    <t>L6BVXPHD</t>
  </si>
  <si>
    <t>OC9PMXD</t>
  </si>
  <si>
    <t>bloodValueBaseDeficitMax_mEqPerL</t>
  </si>
  <si>
    <t>maximum base deficit (mmol/l)</t>
  </si>
  <si>
    <t>blood_value_base_deficit_max_meqperl</t>
  </si>
  <si>
    <t>L6BVXBD</t>
  </si>
  <si>
    <t>OC9BDMX</t>
  </si>
  <si>
    <t>bloodValueBaseDeficitMax_mEqPerLDate</t>
  </si>
  <si>
    <t>date of maximum base deficit</t>
  </si>
  <si>
    <t>blood_value_base_deficit_max_meqperl_date</t>
  </si>
  <si>
    <t>L6BVXBDD</t>
  </si>
  <si>
    <t>OC9BDMXD</t>
  </si>
  <si>
    <t>bloodValueSerumNaMax_mEqPerL</t>
  </si>
  <si>
    <t>maximum serum sodium (mEq/L or mmol/L)</t>
  </si>
  <si>
    <t>blood_value_serum_na_max_meqperl</t>
  </si>
  <si>
    <t>L6BVXSS</t>
  </si>
  <si>
    <t>OC9SSMX</t>
  </si>
  <si>
    <t>bloodValueSerumNaMax_mEqPerLDate</t>
  </si>
  <si>
    <t>date of maximum serum sodium</t>
  </si>
  <si>
    <t>blood_value_serum_na_max_meqperl_date</t>
  </si>
  <si>
    <t>L6BVXSSD</t>
  </si>
  <si>
    <t>OC9SSMXD</t>
  </si>
  <si>
    <t>bloodValueSerumKMax_mEqPerL</t>
  </si>
  <si>
    <t>maximum serum potassium (mEq/L or mmol/L)</t>
  </si>
  <si>
    <t>blood_value_serum_k_max_meqperl</t>
  </si>
  <si>
    <t>L6BVXSP</t>
  </si>
  <si>
    <t>OC9SPMX</t>
  </si>
  <si>
    <t>bloodValueSerumKMax_mEqPerLDate</t>
  </si>
  <si>
    <t>date of maximum serum potassium</t>
  </si>
  <si>
    <t>blood_value_serum_k_max_meqperl_date</t>
  </si>
  <si>
    <t>L6BVXSPD</t>
  </si>
  <si>
    <t>OC9SPMXD</t>
  </si>
  <si>
    <t>bloodValueClMax_mEqPerL</t>
  </si>
  <si>
    <t>maximum chlorides (mEq/L or mmol/L)</t>
  </si>
  <si>
    <t>blood_value_cl_max_meqperl</t>
  </si>
  <si>
    <t>L6BVXCL</t>
  </si>
  <si>
    <t>OC9CHMX</t>
  </si>
  <si>
    <t>bloodValueClMax_mEqPerLDate</t>
  </si>
  <si>
    <t>date of maximum chlorides</t>
  </si>
  <si>
    <t>blood_value_cl_max_meqperl_date</t>
  </si>
  <si>
    <t>L6BVXCLD</t>
  </si>
  <si>
    <t>OC9CHMXD</t>
  </si>
  <si>
    <t>bloodValueBunMax_mgPerdL</t>
  </si>
  <si>
    <t>maximum bun (mg/dL)</t>
  </si>
  <si>
    <t>blood_value_bun_max_mgperdl</t>
  </si>
  <si>
    <t>L6BVXBN</t>
  </si>
  <si>
    <t>OC9BNMX</t>
  </si>
  <si>
    <t>bloodValueBunMax_mgPerdLDate</t>
  </si>
  <si>
    <t>date of maximum bun</t>
  </si>
  <si>
    <t>blood_value_bun_max_mgperdl_date</t>
  </si>
  <si>
    <t>L6BVXBND</t>
  </si>
  <si>
    <t>OC9BNMXD</t>
  </si>
  <si>
    <t>bloodValueCreatinineMax_mgPerdL</t>
  </si>
  <si>
    <t>maximum creatinine (mg/dL)</t>
  </si>
  <si>
    <t>blood_value_creatinine_max_mgperdl</t>
  </si>
  <si>
    <t>L6BVXCR</t>
  </si>
  <si>
    <t>OC9CRMX</t>
  </si>
  <si>
    <t>bloodValueCreatinineMax_mgPerdLDate</t>
  </si>
  <si>
    <t>date of maximum creatinine</t>
  </si>
  <si>
    <t>blood_value_creatinine_max_mgperdl_date</t>
  </si>
  <si>
    <t>L6BVXCRD</t>
  </si>
  <si>
    <t>OC9CRMXD</t>
  </si>
  <si>
    <t>bloodValueGlucoseMax_mgPerdL</t>
  </si>
  <si>
    <t>maximum glucose (mg/dL)</t>
  </si>
  <si>
    <t>blood_value_glucose_max_mgperdl</t>
  </si>
  <si>
    <t>L6BVXGL</t>
  </si>
  <si>
    <t>OC9GLMX</t>
  </si>
  <si>
    <t>bloodValueGlucoseMax_mgPerdLDate</t>
  </si>
  <si>
    <t>date of maximum glucose</t>
  </si>
  <si>
    <t>blood_value_glucose_max_mgperdl_date</t>
  </si>
  <si>
    <t>L6BVXGLD</t>
  </si>
  <si>
    <t>OC9GLMXD</t>
  </si>
  <si>
    <t>bloodValueTotalCaMax_mgPerdL</t>
  </si>
  <si>
    <t>maximum total calcium (mg/dL)</t>
  </si>
  <si>
    <t>blood_value_total_ca_max_mgperdl</t>
  </si>
  <si>
    <t>OC9TCMX</t>
  </si>
  <si>
    <t>bloodValueTotalCaMax_mgPerdLDate</t>
  </si>
  <si>
    <t>date of maximum total calcium</t>
  </si>
  <si>
    <t>blood_value_total_ca_max_mgperdl_date</t>
  </si>
  <si>
    <t>OC9TCMXD</t>
  </si>
  <si>
    <t>bloodValueIonCaMax_mgPerdL</t>
  </si>
  <si>
    <t>maximum ionized calcium (mg/dL)</t>
  </si>
  <si>
    <t>blood_value_ion_ca_max_mgperdl</t>
  </si>
  <si>
    <t>OC9IOMX</t>
  </si>
  <si>
    <t>bloodValueIonCaMax_mgPerdLDate</t>
  </si>
  <si>
    <t>date of maximum ionized calcium</t>
  </si>
  <si>
    <t>blood_value_ion_ca_max_mgperdl_date</t>
  </si>
  <si>
    <t>OC9IOMXD</t>
  </si>
  <si>
    <t>bloodValueASTSGOTMax_UPerL</t>
  </si>
  <si>
    <t>maximum AST/SGOT (U/L)</t>
  </si>
  <si>
    <t>blood_value_ast_sgot_max_uperl</t>
  </si>
  <si>
    <t>L6BVXAS</t>
  </si>
  <si>
    <t>OC9ASMX</t>
  </si>
  <si>
    <t>bloodValueASTSGOTMax_UPerLDate</t>
  </si>
  <si>
    <t>date of maximum AST/SGOT</t>
  </si>
  <si>
    <t>blood_value_ast_sgot_max_uperl_date</t>
  </si>
  <si>
    <t>L6BVXASD</t>
  </si>
  <si>
    <t>OC9ASMXD</t>
  </si>
  <si>
    <t>bloodValueALTSGPTMax_UPerL</t>
  </si>
  <si>
    <t>maximum ALT/SGPT (U/L)</t>
  </si>
  <si>
    <t>blood_value_alt_sgpt_max_uperl</t>
  </si>
  <si>
    <t>L6BVXAL</t>
  </si>
  <si>
    <t>OC9ALMX</t>
  </si>
  <si>
    <t>bloodValueALTSGPTMax_UPerLDate</t>
  </si>
  <si>
    <t>date of maximum ALT/SGPT</t>
  </si>
  <si>
    <t>blood_value_alt_sgpt_max_uperl_date</t>
  </si>
  <si>
    <t>L6BVXALD</t>
  </si>
  <si>
    <t>OC9ALMXD</t>
  </si>
  <si>
    <t>bloodValueTotalBilirubinMax_mgPerdL</t>
  </si>
  <si>
    <t>maximum total Bilirubin (mg/dL)</t>
  </si>
  <si>
    <t>blood_value_total_bilirubin_max_mgperdl</t>
  </si>
  <si>
    <t>OC9TBMX</t>
  </si>
  <si>
    <t>bloodValueTotalBilirubinMax_mgPerdLDate</t>
  </si>
  <si>
    <t>date of maximum total Bilirubin</t>
  </si>
  <si>
    <t>blood_value_total_bilirubin_max_mgperdl_date</t>
  </si>
  <si>
    <t>OC9TBMXD</t>
  </si>
  <si>
    <t>positiveCultureNumber</t>
  </si>
  <si>
    <t>positive culture report number</t>
  </si>
  <si>
    <t>positive_culture_number</t>
  </si>
  <si>
    <t>OC9IPCNU</t>
  </si>
  <si>
    <t>positiveCulture</t>
  </si>
  <si>
    <t>positive culture result during study intervention period (within 96 hrs in LH) after baseline?</t>
  </si>
  <si>
    <t>positive_culture</t>
  </si>
  <si>
    <t>L6FPCRAB</t>
  </si>
  <si>
    <t>source of positive culture during study intervention period (within 96 hrs in LH) after baseline</t>
  </si>
  <si>
    <t>positive_culture_src</t>
  </si>
  <si>
    <t>L6FPARC</t>
  </si>
  <si>
    <t>OC9ISOUR</t>
  </si>
  <si>
    <t>positiveCultureDate</t>
  </si>
  <si>
    <t>date of positive culture during study intervention period (within 96 hrs in LH) after baseline</t>
  </si>
  <si>
    <t>positive_culture_date</t>
  </si>
  <si>
    <t>L6FPADT</t>
  </si>
  <si>
    <t>OC9IDATE</t>
  </si>
  <si>
    <t>positiveCultureTime</t>
  </si>
  <si>
    <t>time of positive culture during study intervention period (within 96 hrs in LH) after baseline</t>
  </si>
  <si>
    <t>positive_culture_time</t>
  </si>
  <si>
    <t>L6FPATM</t>
  </si>
  <si>
    <t>OC9ITIME</t>
  </si>
  <si>
    <t>positiveCultureOrganismCode1</t>
  </si>
  <si>
    <t>organism code of positive culture during study intervention period (within 96 hrs in LH) after baseline</t>
  </si>
  <si>
    <t>positive_culture_organism_code1</t>
  </si>
  <si>
    <t>L6FPAOC1</t>
  </si>
  <si>
    <t>OC9IOCO1</t>
  </si>
  <si>
    <t>positiveCultureOrganismCode2</t>
  </si>
  <si>
    <t>organism code-2 of positive culture during study intervention period (within 96 hrs in LH) after baseline</t>
  </si>
  <si>
    <t>positive_culture_organism_code2</t>
  </si>
  <si>
    <t>L6FPAOC2</t>
  </si>
  <si>
    <t>OC9IOCO2</t>
  </si>
  <si>
    <t>positiveCultureOrganismCode3</t>
  </si>
  <si>
    <t>organism code-3 of positive culture during study intervention period (within 96 hrs in LH) after baseline</t>
  </si>
  <si>
    <t>positive_culture_organism_code3</t>
  </si>
  <si>
    <t>L6FPAOC3</t>
  </si>
  <si>
    <t>OC9IOCO3</t>
  </si>
  <si>
    <t>antibiotic therapy started during study intervention period (within 96 hrs in LH) after baseline</t>
  </si>
  <si>
    <t>L6FPAAB</t>
  </si>
  <si>
    <t>OC9ATBL</t>
  </si>
  <si>
    <t>antibioticsCode1</t>
  </si>
  <si>
    <t>antibiotic after baseline code-1</t>
  </si>
  <si>
    <t>antibiotics_code1</t>
  </si>
  <si>
    <t>L6FPAAC1</t>
  </si>
  <si>
    <t>OC9AABC1</t>
  </si>
  <si>
    <t>antibioticsCode2</t>
  </si>
  <si>
    <t>antibiotic after baseline code-2</t>
  </si>
  <si>
    <t>antibiotics_code2</t>
  </si>
  <si>
    <t>L6FPAAC2</t>
  </si>
  <si>
    <t>OC9AABC2</t>
  </si>
  <si>
    <t>antibioticsCode3</t>
  </si>
  <si>
    <t>antibiotic after baseline code-3</t>
  </si>
  <si>
    <t>antibiotics_code3</t>
  </si>
  <si>
    <t>L6FPAAC3</t>
  </si>
  <si>
    <t>OC9AABC3</t>
  </si>
  <si>
    <t>rewarmingAntibiotics</t>
  </si>
  <si>
    <t>antibiotic therapy started during rewarming</t>
  </si>
  <si>
    <t>rewarming_antibiotics</t>
  </si>
  <si>
    <t>OC9ATRW</t>
  </si>
  <si>
    <t>rewarmingAntibioticsCode1</t>
  </si>
  <si>
    <t>antibiotic during rewarming code-1</t>
  </si>
  <si>
    <t>rewarming_antibiotics_code1</t>
  </si>
  <si>
    <t>OC9ARWC1</t>
  </si>
  <si>
    <t>rewarmingAntibioticsCode2</t>
  </si>
  <si>
    <t>antibiotic during rewarming code-2</t>
  </si>
  <si>
    <t>rewarming_antibiotics_code2</t>
  </si>
  <si>
    <t>OC9ARWC2</t>
  </si>
  <si>
    <t>rewarmingAntibioticsCode3</t>
  </si>
  <si>
    <t>antibiotic during rewarming code-3</t>
  </si>
  <si>
    <t>rewarming_antibiotics_code3</t>
  </si>
  <si>
    <t>OC9ARWC3</t>
  </si>
  <si>
    <t>otherMedTimeSlot_min</t>
  </si>
  <si>
    <t>Other Meds: Interval-ID</t>
  </si>
  <si>
    <t>other_med_time_slot_min</t>
  </si>
  <si>
    <t>LH6OMINT</t>
  </si>
  <si>
    <t>otherMedTargetDate</t>
  </si>
  <si>
    <t>other_med_target_date</t>
  </si>
  <si>
    <t>LH6OMTDT</t>
  </si>
  <si>
    <t>otherMedTargetTime</t>
  </si>
  <si>
    <t>other_med_target_time</t>
  </si>
  <si>
    <t>LH6OMTTM</t>
  </si>
  <si>
    <t>LH6OMACV</t>
  </si>
  <si>
    <t>anticonvulsants1</t>
  </si>
  <si>
    <t>LH6OMAC1</t>
  </si>
  <si>
    <t>OC8OMAC1</t>
  </si>
  <si>
    <t>anticonvulsants2</t>
  </si>
  <si>
    <t>LH6OMAC2</t>
  </si>
  <si>
    <t>OC8OMAC2</t>
  </si>
  <si>
    <t>anticonvulsants3</t>
  </si>
  <si>
    <t>LH6OMAC3</t>
  </si>
  <si>
    <t>OC8OMAC3</t>
  </si>
  <si>
    <t>analgesicsSedatives</t>
  </si>
  <si>
    <t>Other Meds: Analgesics</t>
  </si>
  <si>
    <t>analgesics_sedatives</t>
  </si>
  <si>
    <t>LH6OMAGS</t>
  </si>
  <si>
    <t>analgesicsSedatives1</t>
  </si>
  <si>
    <t>analgesics_sedatives1</t>
  </si>
  <si>
    <t>LH6OMAG1</t>
  </si>
  <si>
    <t>OC8OMAG1</t>
  </si>
  <si>
    <t>analgesicsSedatives2</t>
  </si>
  <si>
    <t>analgesics_sedatives2</t>
  </si>
  <si>
    <t>LH6OMAG2</t>
  </si>
  <si>
    <t>OC8OMAG2</t>
  </si>
  <si>
    <t>analgesicsSedatives3</t>
  </si>
  <si>
    <t>analgesics_sedatives3</t>
  </si>
  <si>
    <t>LH6OMAG3</t>
  </si>
  <si>
    <t>OC8OMAG3</t>
  </si>
  <si>
    <t>Other Meds: Antipyretics</t>
  </si>
  <si>
    <t>LH6OMAPY</t>
  </si>
  <si>
    <t>antipyretics1</t>
  </si>
  <si>
    <t>LH6OMAP1</t>
  </si>
  <si>
    <t>OC8OMAP1</t>
  </si>
  <si>
    <t>antipyretics2</t>
  </si>
  <si>
    <t>LH6OMAP2</t>
  </si>
  <si>
    <t>OC8OMAP2</t>
  </si>
  <si>
    <t>antipyretics3</t>
  </si>
  <si>
    <t>LH6OMAP3</t>
  </si>
  <si>
    <t>OC8OMAP3</t>
  </si>
  <si>
    <t>LH6OMNBA</t>
  </si>
  <si>
    <t>paralytics1</t>
  </si>
  <si>
    <t>LH6OMNB1</t>
  </si>
  <si>
    <t>OC8OMNB1</t>
  </si>
  <si>
    <t>paralytics2</t>
  </si>
  <si>
    <t>LH6OMNB2</t>
  </si>
  <si>
    <t>OC8OMNB2</t>
  </si>
  <si>
    <t>paralytics3</t>
  </si>
  <si>
    <t>LH6OMNB3</t>
  </si>
  <si>
    <t>OC8OMNB3</t>
  </si>
  <si>
    <t>otherMedFluidIntake_ccPerKg</t>
  </si>
  <si>
    <t>other_med_fluid_intake_cc_per_kg</t>
  </si>
  <si>
    <t>LH6OMFI</t>
  </si>
  <si>
    <t>OC8OMFI</t>
  </si>
  <si>
    <t>otherMedUrineOutput_ccPerKg</t>
  </si>
  <si>
    <t>other_med_urine_output_cc_per_kg</t>
  </si>
  <si>
    <t>LH6OMUO</t>
  </si>
  <si>
    <t>OC8OMUO</t>
  </si>
  <si>
    <t>imagingNumber</t>
  </si>
  <si>
    <t>imaging interval-ID</t>
  </si>
  <si>
    <t>imaging_number</t>
  </si>
  <si>
    <t>LH9IMGTP</t>
  </si>
  <si>
    <t>OC12INTV</t>
  </si>
  <si>
    <t>headSonogram</t>
  </si>
  <si>
    <t>head_sonogram</t>
  </si>
  <si>
    <t>LH9HSONO</t>
  </si>
  <si>
    <t>OC12HSON</t>
  </si>
  <si>
    <t>headSonogramDate</t>
  </si>
  <si>
    <t>head_sonogram_date</t>
  </si>
  <si>
    <t>LH9HSDAT</t>
  </si>
  <si>
    <t>OC12HSDA</t>
  </si>
  <si>
    <t>headSonogramTime</t>
  </si>
  <si>
    <t>head_sonogram_time</t>
  </si>
  <si>
    <t>LH9HSTIM</t>
  </si>
  <si>
    <t>OC12HSTM</t>
  </si>
  <si>
    <t>headSonogramResult1</t>
  </si>
  <si>
    <t>head_sonogram_result1</t>
  </si>
  <si>
    <t>LH9HSREA</t>
  </si>
  <si>
    <t>OC12HSRA</t>
  </si>
  <si>
    <t>headSonogramResult2</t>
  </si>
  <si>
    <t>head_sonogram_result2</t>
  </si>
  <si>
    <t>LH9HSREB</t>
  </si>
  <si>
    <t>OC12HSRB</t>
  </si>
  <si>
    <t>headSonogramResult3</t>
  </si>
  <si>
    <t>head_sonogram_result3</t>
  </si>
  <si>
    <t>LH9HSREC</t>
  </si>
  <si>
    <t>OC12HSRC</t>
  </si>
  <si>
    <t>headSonogramResult4</t>
  </si>
  <si>
    <t>head_sonogram_result4</t>
  </si>
  <si>
    <t>LH9HSRED</t>
  </si>
  <si>
    <t>OC12HSRD</t>
  </si>
  <si>
    <t>headSonogramResult5</t>
  </si>
  <si>
    <t>head_sonogram_result5</t>
  </si>
  <si>
    <t>LH9HSREE</t>
  </si>
  <si>
    <t>OC12HSRE</t>
  </si>
  <si>
    <t>headSonogramResult6</t>
  </si>
  <si>
    <t>head_sonogram_result6</t>
  </si>
  <si>
    <t>LH9HSREF</t>
  </si>
  <si>
    <t>OC12HSRF</t>
  </si>
  <si>
    <t>headSonogramResult7</t>
  </si>
  <si>
    <t>head_sonogram_result7</t>
  </si>
  <si>
    <t>LH9HSREG</t>
  </si>
  <si>
    <t>OC12HSRG</t>
  </si>
  <si>
    <t>headSonogramResult8</t>
  </si>
  <si>
    <t>head_sonogram_result8</t>
  </si>
  <si>
    <t>LH9HSREH</t>
  </si>
  <si>
    <t>OC12HSRH</t>
  </si>
  <si>
    <t>headSonogramResultText</t>
  </si>
  <si>
    <t>head_sonogram_result_text</t>
  </si>
  <si>
    <t>LH9HSRES</t>
  </si>
  <si>
    <t>OC12HSRS</t>
  </si>
  <si>
    <t>headCT</t>
  </si>
  <si>
    <t>head_ct</t>
  </si>
  <si>
    <t>LH9HCT</t>
  </si>
  <si>
    <t>OC12HCT</t>
  </si>
  <si>
    <t>headCTDate</t>
  </si>
  <si>
    <t>head_ct_date</t>
  </si>
  <si>
    <t>LH9HCDAT</t>
  </si>
  <si>
    <t>OC12HCDA</t>
  </si>
  <si>
    <t>headCTTime</t>
  </si>
  <si>
    <t>head_ct_time</t>
  </si>
  <si>
    <t>LH9HCTIM</t>
  </si>
  <si>
    <t>OC12HCTM</t>
  </si>
  <si>
    <t>headCTResult1</t>
  </si>
  <si>
    <t>head_ct_result1</t>
  </si>
  <si>
    <t>LH9HCREA</t>
  </si>
  <si>
    <t>OC12HCRA</t>
  </si>
  <si>
    <t>headCTResult2</t>
  </si>
  <si>
    <t>head_ct_result2</t>
  </si>
  <si>
    <t>LH9HCREB</t>
  </si>
  <si>
    <t>OC12HCRB</t>
  </si>
  <si>
    <t>headCTResult3</t>
  </si>
  <si>
    <t>head_ct_result3</t>
  </si>
  <si>
    <t>LH9HCREC</t>
  </si>
  <si>
    <t>OC12HCRC</t>
  </si>
  <si>
    <t>headCTResult4</t>
  </si>
  <si>
    <t>head_ct_result4</t>
  </si>
  <si>
    <t>LH9HCRED</t>
  </si>
  <si>
    <t>OC12HCRD</t>
  </si>
  <si>
    <t>headCTResult5</t>
  </si>
  <si>
    <t>head_ct_result5</t>
  </si>
  <si>
    <t>LH9HCREE</t>
  </si>
  <si>
    <t>OC12HCRE</t>
  </si>
  <si>
    <t>headCTResult6</t>
  </si>
  <si>
    <t>head_ct_result6</t>
  </si>
  <si>
    <t>LH9HCREF</t>
  </si>
  <si>
    <t>OC12HCRF</t>
  </si>
  <si>
    <t>headCTResult7</t>
  </si>
  <si>
    <t>head_ct_result7</t>
  </si>
  <si>
    <t>LH9HCREG</t>
  </si>
  <si>
    <t>OC12HCRG</t>
  </si>
  <si>
    <t>headCTResult8</t>
  </si>
  <si>
    <t>head_ct_result8</t>
  </si>
  <si>
    <t>LH9HCREH</t>
  </si>
  <si>
    <t>OC12HCRH</t>
  </si>
  <si>
    <t>headCTResultText</t>
  </si>
  <si>
    <t>head_ct_result_text</t>
  </si>
  <si>
    <t>LH9HCRES</t>
  </si>
  <si>
    <t>OC12HCRS</t>
  </si>
  <si>
    <t>brainMRI</t>
  </si>
  <si>
    <t>brain_mri</t>
  </si>
  <si>
    <t>LH9MRI</t>
  </si>
  <si>
    <t>OC12MRI</t>
  </si>
  <si>
    <t>brainMRIDate</t>
  </si>
  <si>
    <t>brain_mri_date</t>
  </si>
  <si>
    <t>LH9BMDAT</t>
  </si>
  <si>
    <t>OC12BMDA</t>
  </si>
  <si>
    <t>brainMRITime</t>
  </si>
  <si>
    <t>brain_mri_time</t>
  </si>
  <si>
    <t>LH9BMTIM</t>
  </si>
  <si>
    <t>OC12BMTM</t>
  </si>
  <si>
    <t>brainMRIResult1</t>
  </si>
  <si>
    <t>brain_mri_result1</t>
  </si>
  <si>
    <t>LH9BMREA</t>
  </si>
  <si>
    <t>OC12BMRA</t>
  </si>
  <si>
    <t>brainMRIResult2</t>
  </si>
  <si>
    <t>brain_mri_result2</t>
  </si>
  <si>
    <t>LH9BMREB</t>
  </si>
  <si>
    <t>OC12BMRB</t>
  </si>
  <si>
    <t>brainMRIResult3</t>
  </si>
  <si>
    <t>brain_mri_result3</t>
  </si>
  <si>
    <t>LH9BMREC</t>
  </si>
  <si>
    <t>OC12BMRC</t>
  </si>
  <si>
    <t>brainMRIResult4</t>
  </si>
  <si>
    <t>brain_mri_result4</t>
  </si>
  <si>
    <t>LH9BMRED</t>
  </si>
  <si>
    <t>OC12BMRD</t>
  </si>
  <si>
    <t>brainMRIResult5</t>
  </si>
  <si>
    <t>brain_mri_result5</t>
  </si>
  <si>
    <t>LH9BMREE</t>
  </si>
  <si>
    <t>OC12BMRE</t>
  </si>
  <si>
    <t>brainMRIResult6</t>
  </si>
  <si>
    <t>brain_mri_result6</t>
  </si>
  <si>
    <t>LH9BMREF</t>
  </si>
  <si>
    <t>OC12BMRF</t>
  </si>
  <si>
    <t>brainMRIResult7</t>
  </si>
  <si>
    <t>brain_mri_result7</t>
  </si>
  <si>
    <t>LH9BMREG</t>
  </si>
  <si>
    <t>OC12BMRG</t>
  </si>
  <si>
    <t>brainMRIResult8</t>
  </si>
  <si>
    <t>brain_mri_result8</t>
  </si>
  <si>
    <t>LH9BMREH</t>
  </si>
  <si>
    <t>OC12BMRH</t>
  </si>
  <si>
    <t>brainMRIResultText</t>
  </si>
  <si>
    <t>brain_mri_result_text</t>
  </si>
  <si>
    <t>LH9BMRES</t>
  </si>
  <si>
    <t>OC12BMRS</t>
  </si>
  <si>
    <t>Elevated Temperature</t>
  </si>
  <si>
    <t>elevatedTempNumber</t>
  </si>
  <si>
    <t>report no.</t>
  </si>
  <si>
    <t>elevated_temp_number</t>
  </si>
  <si>
    <t>LH6ARNUM</t>
  </si>
  <si>
    <t>elevatedTempMin</t>
  </si>
  <si>
    <t>minute</t>
  </si>
  <si>
    <t>elevated_temp_min</t>
  </si>
  <si>
    <t>LH6AMIN</t>
  </si>
  <si>
    <t>elevatedTempDate</t>
  </si>
  <si>
    <t>date of fever</t>
  </si>
  <si>
    <t>elevated_temp_date</t>
  </si>
  <si>
    <t>LH6ADATE</t>
  </si>
  <si>
    <t>elevatedTempTime</t>
  </si>
  <si>
    <t>time of fever</t>
  </si>
  <si>
    <t>elevated_temp_time</t>
  </si>
  <si>
    <t>LH6ATIME</t>
  </si>
  <si>
    <t>elevatedTempSkinTemperature_C</t>
  </si>
  <si>
    <t>skin when fever</t>
  </si>
  <si>
    <t>elevated_temp_skin_temperature_c</t>
  </si>
  <si>
    <t>LH6ASKIN</t>
  </si>
  <si>
    <t>elevatedTempAxillaryTemperature_C</t>
  </si>
  <si>
    <t>axillary when fever</t>
  </si>
  <si>
    <t>elevated_temp_axillary_temperature_c</t>
  </si>
  <si>
    <t>LH6AAXIL</t>
  </si>
  <si>
    <t>elevatedTempEsophagealTemperature_C</t>
  </si>
  <si>
    <t>esophageal when fever</t>
  </si>
  <si>
    <t>elevated_temp_esophageal_temperature_c</t>
  </si>
  <si>
    <t>LH6AESOP</t>
  </si>
  <si>
    <t>elevatedTempServoSet_C</t>
  </si>
  <si>
    <t>servo set point</t>
  </si>
  <si>
    <t>elevated_temp_servo_set_c</t>
  </si>
  <si>
    <t>LH6ASERV</t>
  </si>
  <si>
    <t>elevatedTempDevice</t>
  </si>
  <si>
    <t>device</t>
  </si>
  <si>
    <t>elevated_temp_device</t>
  </si>
  <si>
    <t>LH6ADEVI</t>
  </si>
  <si>
    <t>elevatedTempDeviceMode</t>
  </si>
  <si>
    <t>mode</t>
  </si>
  <si>
    <t>elevated_temp_device_mode</t>
  </si>
  <si>
    <t>LH6AMODE</t>
  </si>
  <si>
    <t>elevatedTempAirTemperature_C</t>
  </si>
  <si>
    <t>air temperature</t>
  </si>
  <si>
    <t>elevated_temp_air_temperature_c</t>
  </si>
  <si>
    <t>LH6AATEM</t>
  </si>
  <si>
    <t>elevatedTempBath</t>
  </si>
  <si>
    <t>bath (if Tes &gt; 37.5C)</t>
  </si>
  <si>
    <t>elevated_temp_bath</t>
  </si>
  <si>
    <t>LH6ABATH</t>
  </si>
  <si>
    <t>elevatedTempNoBathReason</t>
  </si>
  <si>
    <t>reason if not bath</t>
  </si>
  <si>
    <t>elevated_temp_no_bath_reason</t>
  </si>
  <si>
    <t>LH6AREAS</t>
  </si>
  <si>
    <t>elevatedTempBlanketrol</t>
  </si>
  <si>
    <t>blanketrol (if Tes &gt; 37.3C after bath)</t>
  </si>
  <si>
    <t>elevated_temp_blanketrol</t>
  </si>
  <si>
    <t>LH6ABLAN</t>
  </si>
  <si>
    <t>Fluctuated Temperature</t>
  </si>
  <si>
    <t>fluctuateTempNumber</t>
  </si>
  <si>
    <t>fluctuate_temp_number</t>
  </si>
  <si>
    <t>LH6FRNUM</t>
  </si>
  <si>
    <t>fluctuateTempMin</t>
  </si>
  <si>
    <t>fluctuate_temp_min</t>
  </si>
  <si>
    <t>LH6FMIN</t>
  </si>
  <si>
    <t>fluctuateTempDate</t>
  </si>
  <si>
    <t>fluctuate_temp_date</t>
  </si>
  <si>
    <t>LH6FDATE</t>
  </si>
  <si>
    <t>fluctuateTempTime</t>
  </si>
  <si>
    <t>fluctuate_temp_time</t>
  </si>
  <si>
    <t>LH6FTIME</t>
  </si>
  <si>
    <t>fluctuateTempSkinTemperature_C</t>
  </si>
  <si>
    <t>skin</t>
  </si>
  <si>
    <t>fluctuate_temp_skin_temperature_c</t>
  </si>
  <si>
    <t>LH6FSKIN</t>
  </si>
  <si>
    <t>fluctuateTempAxillaryTemperature_C</t>
  </si>
  <si>
    <t>axillary</t>
  </si>
  <si>
    <t>fluctuate_temp_axillary_temperature_c</t>
  </si>
  <si>
    <t>LH6FAXIL</t>
  </si>
  <si>
    <t>fluctuateTempEsophagealTemperature_C</t>
  </si>
  <si>
    <t>esophageal</t>
  </si>
  <si>
    <t>fluctuate_temp_esophageal_temperature_c</t>
  </si>
  <si>
    <t>LH6FESOP</t>
  </si>
  <si>
    <t>fluctuateTempBlanketrol_C</t>
  </si>
  <si>
    <t>blanketrol</t>
  </si>
  <si>
    <t>fluctuate_temp_blanketrol_c</t>
  </si>
  <si>
    <t>LH6FBLAN</t>
  </si>
  <si>
    <t>fluctuateTempServoSet_C</t>
  </si>
  <si>
    <t>fluctuate_temp_servo_set_c</t>
  </si>
  <si>
    <t>LH6FSERV</t>
  </si>
  <si>
    <t>Bradycardia</t>
  </si>
  <si>
    <t>bradycardiaEventNumber</t>
  </si>
  <si>
    <t>Report Number (form filled out for each bradycardia event)</t>
  </si>
  <si>
    <t>bradycardia_event_number</t>
  </si>
  <si>
    <t>O17RPTNM</t>
  </si>
  <si>
    <t>bradycardiaLess70Greater15min</t>
  </si>
  <si>
    <t>Bradycardia &lt;= 70 for &gt; 15min?</t>
  </si>
  <si>
    <t>bradycardia_less70_greater15min</t>
  </si>
  <si>
    <t>O17CSBC</t>
  </si>
  <si>
    <t>bradycardiaEKG</t>
  </si>
  <si>
    <t>Was EKG Obtained?</t>
  </si>
  <si>
    <t>bradycardia_ekg</t>
  </si>
  <si>
    <t>O17EKG</t>
  </si>
  <si>
    <t>bradycardiaEKGResult</t>
  </si>
  <si>
    <t>Results of the EKG</t>
  </si>
  <si>
    <t>bradycardia_ekg_result</t>
  </si>
  <si>
    <t>O17EKGR</t>
  </si>
  <si>
    <t>bradycardiaEKGResultOtherText</t>
  </si>
  <si>
    <t>Results of EKG, Other (2) Specify</t>
  </si>
  <si>
    <t>bradycardia_ekg_result_other_text</t>
  </si>
  <si>
    <t>O17EKGRS</t>
  </si>
  <si>
    <t>bradycardiaAntiarrhythmiaMedication</t>
  </si>
  <si>
    <t>Were antiarrhythmia medications given?</t>
  </si>
  <si>
    <t>bradycardia_antiarrhythmia_medication</t>
  </si>
  <si>
    <t>O17AAMED</t>
  </si>
  <si>
    <t>bradycardiaDate</t>
  </si>
  <si>
    <t>Episode of Bradycardia: (Start) Date</t>
  </si>
  <si>
    <t>bradycardia_date</t>
  </si>
  <si>
    <t>O17EBSDT</t>
  </si>
  <si>
    <t>bradycardiaTime</t>
  </si>
  <si>
    <t>Episode of Bradycardia: Start Time</t>
  </si>
  <si>
    <t>bradycardia_time</t>
  </si>
  <si>
    <t>O17EBSTM</t>
  </si>
  <si>
    <t>bradycardiaDuration</t>
  </si>
  <si>
    <t>Episode of Bradycardia: Duration</t>
  </si>
  <si>
    <t>bradycardia_duration</t>
  </si>
  <si>
    <t>O17EBDUR</t>
  </si>
  <si>
    <t>bradycardiaHeartRateMin</t>
  </si>
  <si>
    <t>Eipsode of Bradycardia: Lowest Heart Rate</t>
  </si>
  <si>
    <t>bradycardia_heart_rate_min</t>
  </si>
  <si>
    <t>O17EBLHR</t>
  </si>
  <si>
    <t>Adverse Event</t>
  </si>
  <si>
    <t>adverseEventNumber</t>
  </si>
  <si>
    <t>Hypothermia Study Adverse Event Number</t>
  </si>
  <si>
    <t>adverse_event_number</t>
  </si>
  <si>
    <t>LH7EVNM</t>
  </si>
  <si>
    <t>OC15EVNM</t>
  </si>
  <si>
    <t>SAECardiacExperienceOnsetDate</t>
  </si>
  <si>
    <t>Cardiac experience (cardiac arrhythemia requiring evaluation and therapy) date of onset</t>
  </si>
  <si>
    <t>sae_cardiac_experience_onset_date</t>
  </si>
  <si>
    <t>LH7CDTO</t>
  </si>
  <si>
    <t>OC15CDTO</t>
  </si>
  <si>
    <t>SAECardiacExperienceOnsetTime</t>
  </si>
  <si>
    <t>Cardiac experience time of onset:</t>
  </si>
  <si>
    <t>sae_cardiac_experience_onset_time</t>
  </si>
  <si>
    <t>LH7CTMO</t>
  </si>
  <si>
    <t>OC15CTMO</t>
  </si>
  <si>
    <t>SAECardiacExperienceResolveDate</t>
  </si>
  <si>
    <t>Cardiac experience date resolved</t>
  </si>
  <si>
    <t>sae_cardiac_experience_resolve_date</t>
  </si>
  <si>
    <t>LH7CDTR</t>
  </si>
  <si>
    <t>OC15CDTR</t>
  </si>
  <si>
    <t>SAECardiacExperienceResolveTime</t>
  </si>
  <si>
    <t>Cardiac experience time resolved:</t>
  </si>
  <si>
    <t>sae_cardiac_experience_resolve_time</t>
  </si>
  <si>
    <t>LH7CTMR</t>
  </si>
  <si>
    <t>OC15CTMR</t>
  </si>
  <si>
    <t>SAECardiacExperienceDueToHypothermia</t>
  </si>
  <si>
    <t>SAEAttributable</t>
  </si>
  <si>
    <t>Cardiac experience attributable to hypothermia (no, unlikely, possible, probable):</t>
  </si>
  <si>
    <t>sae_cardiac_experience_due_to_hypothermia</t>
  </si>
  <si>
    <t>LH7CATT</t>
  </si>
  <si>
    <t>OC15CATT</t>
  </si>
  <si>
    <t>SAECardiacExperienceActionTaken</t>
  </si>
  <si>
    <t>SAEAction</t>
  </si>
  <si>
    <t>Cardiac experience action taken:</t>
  </si>
  <si>
    <t>sae_cardiac_experience_action_taken</t>
  </si>
  <si>
    <t>LH7CACT</t>
  </si>
  <si>
    <t>OC15CACT</t>
  </si>
  <si>
    <t>SAECardiacExperienceOutcome</t>
  </si>
  <si>
    <t>SAEOutcome</t>
  </si>
  <si>
    <t>Cardiac experience outcome:</t>
  </si>
  <si>
    <t>sae_cardiac_experience_outcome</t>
  </si>
  <si>
    <t>LH7COUT</t>
  </si>
  <si>
    <t>OC15COUT</t>
  </si>
  <si>
    <t>SAECardiacExperienceComment</t>
  </si>
  <si>
    <t>Cardiac experience comments:</t>
  </si>
  <si>
    <t>sae_cardiac_experience_comment</t>
  </si>
  <si>
    <t>LH7CCOM</t>
  </si>
  <si>
    <t>OC15CCOM</t>
  </si>
  <si>
    <t>SAEMetabolicAcidosisOnsetDate</t>
  </si>
  <si>
    <t>Metabolic acidosis date of onset</t>
  </si>
  <si>
    <t>sae_metabolic_acidosis_onset_date</t>
  </si>
  <si>
    <t>LH7MDTO</t>
  </si>
  <si>
    <t>OC15MDTO</t>
  </si>
  <si>
    <t>SAEMetabolicAcidosisOnsetTime</t>
  </si>
  <si>
    <t>Metabolic acidosis time of onset:</t>
  </si>
  <si>
    <t>sae_metabolic_acidosis_onset_time</t>
  </si>
  <si>
    <t>LH7MTMO</t>
  </si>
  <si>
    <t>OC15MTMO</t>
  </si>
  <si>
    <t>SAEMetabolicAcidosisResolveDate</t>
  </si>
  <si>
    <t>Metabolic acidosis date resolved</t>
  </si>
  <si>
    <t>sae_metabolic_acidosis_resolve_date</t>
  </si>
  <si>
    <t>LH7MDTR</t>
  </si>
  <si>
    <t>OC15MDTR</t>
  </si>
  <si>
    <t>SAEMetabolicAcidosisResolveTime</t>
  </si>
  <si>
    <t>Metabolic acidosis time resolved:</t>
  </si>
  <si>
    <t>sae_metabolic_acidosis_resolve_time</t>
  </si>
  <si>
    <t>LH7MTMR</t>
  </si>
  <si>
    <t>OC15MTMR</t>
  </si>
  <si>
    <t>SAEMetabolicAcidosisDueToHypothermia</t>
  </si>
  <si>
    <t>Metabolic acidosis attributable to hypothermia:</t>
  </si>
  <si>
    <t>sae_metabolic_acidosis_due_to_hypothermia</t>
  </si>
  <si>
    <t>LH7MATT</t>
  </si>
  <si>
    <t>OC15MATT</t>
  </si>
  <si>
    <t>SAEMetabolicAcidosisActionTaken</t>
  </si>
  <si>
    <t>Metabolic acidosis action taken:</t>
  </si>
  <si>
    <t>sae_metabolic_acidosis_action_taken</t>
  </si>
  <si>
    <t>LH7MACT</t>
  </si>
  <si>
    <t>OC15MACT</t>
  </si>
  <si>
    <t>SAEMetabolicAcidosisOutcome</t>
  </si>
  <si>
    <t>Metabolic acidosis outcome:</t>
  </si>
  <si>
    <t>sae_metabolic_acidosis_outcome</t>
  </si>
  <si>
    <t>LH7MOUT</t>
  </si>
  <si>
    <t>OC15MOUT</t>
  </si>
  <si>
    <t>SAEMetabolicAcidosisComment</t>
  </si>
  <si>
    <t>Metabolic acidosis comments:</t>
  </si>
  <si>
    <t>sae_metabolic_acidosis_comment</t>
  </si>
  <si>
    <t>LH7MCOM</t>
  </si>
  <si>
    <t>OC15MCOM</t>
  </si>
  <si>
    <t>SAEThrombosisExperienceOnsetDate</t>
  </si>
  <si>
    <t>Thrombosis experience date of onset</t>
  </si>
  <si>
    <t>sae_thrombosis_experience_onset_date</t>
  </si>
  <si>
    <t>LH7TDTO</t>
  </si>
  <si>
    <t>OC15TDTO</t>
  </si>
  <si>
    <t>SAEThrombosisExperienceOnsetTime</t>
  </si>
  <si>
    <t>Thrombosis experience time of onset:</t>
  </si>
  <si>
    <t>sae_thrombosis_experience_onset_time</t>
  </si>
  <si>
    <t>LH7TTMO</t>
  </si>
  <si>
    <t>OC15TTMO</t>
  </si>
  <si>
    <t>SAEThrombosisExperienceResolveDate</t>
  </si>
  <si>
    <t>Thrombosis experience date resolved</t>
  </si>
  <si>
    <t>sae_thrombosis_experience_resolve_date</t>
  </si>
  <si>
    <t>LH7TDTR</t>
  </si>
  <si>
    <t>OC15TDTR</t>
  </si>
  <si>
    <t>SAEThrombosisExperienceResolveTime</t>
  </si>
  <si>
    <t>Thrombosis experience time resolved:</t>
  </si>
  <si>
    <t>sae_thrombosis_experience_resolve_time</t>
  </si>
  <si>
    <t>LH7TTMR</t>
  </si>
  <si>
    <t>OC15TTMR</t>
  </si>
  <si>
    <t>SAEThrombosisExperienceDueToHypothermia</t>
  </si>
  <si>
    <t>Thrombosis experience attributable to hypothermia:</t>
  </si>
  <si>
    <t>sae_thrombosis_experience_due_to_hypothermia</t>
  </si>
  <si>
    <t>LH7TATT</t>
  </si>
  <si>
    <t>OC15TATT</t>
  </si>
  <si>
    <t>SAEThrombosisExperienceActionTaken</t>
  </si>
  <si>
    <t>Thrombosis experience action taken:</t>
  </si>
  <si>
    <t>sae_thrombosis_experience_action_taken</t>
  </si>
  <si>
    <t>LH7TACT</t>
  </si>
  <si>
    <t>OC15TACT</t>
  </si>
  <si>
    <t>SAEThrombosisExperienceOutcome</t>
  </si>
  <si>
    <t>Thrombosis experience outcome:</t>
  </si>
  <si>
    <t>sae_thrombosis_experience_outcome</t>
  </si>
  <si>
    <t>LH7TOUT</t>
  </si>
  <si>
    <t>OC15TOUT</t>
  </si>
  <si>
    <t>SAEThrombosisExperienceComment</t>
  </si>
  <si>
    <t>Thrombosis experience comments:</t>
  </si>
  <si>
    <t>sae_thrombosis_experience_comment</t>
  </si>
  <si>
    <t>LH7TCOM</t>
  </si>
  <si>
    <t>OC15TCOM</t>
  </si>
  <si>
    <t>SAEBleedingExperienceOnsetDate</t>
  </si>
  <si>
    <t>Bleeding experience date of onset</t>
  </si>
  <si>
    <t>sae_bleeding_experience_onset_date</t>
  </si>
  <si>
    <t>LH7BDTO</t>
  </si>
  <si>
    <t>OC15BDTO</t>
  </si>
  <si>
    <t>SAEBleedingExperienceOnsetTime</t>
  </si>
  <si>
    <t>Bleeding experience time of onset:</t>
  </si>
  <si>
    <t>sae_bleeding_experience_onset_time</t>
  </si>
  <si>
    <t>LH7BTMO</t>
  </si>
  <si>
    <t>OC15BTMO</t>
  </si>
  <si>
    <t>SAEBleedingExperienceResolveDate</t>
  </si>
  <si>
    <t>Bleeding experience date resolved</t>
  </si>
  <si>
    <t>sae_bleeding_experience_resolve_date</t>
  </si>
  <si>
    <t>LH7BDTR</t>
  </si>
  <si>
    <t>OC15BDTR</t>
  </si>
  <si>
    <t>SAEBleedingExperienceResolveTime</t>
  </si>
  <si>
    <t>Bleeding experience time resolved:</t>
  </si>
  <si>
    <t>sae_bleeding_experience_resolve_time</t>
  </si>
  <si>
    <t>LH7BTMR</t>
  </si>
  <si>
    <t>OC15BTMR</t>
  </si>
  <si>
    <t>SAEBleedingExperienceDueToHypothermia</t>
  </si>
  <si>
    <t>Bleeding experience attributable to hypothermia:</t>
  </si>
  <si>
    <t>sae_bleeding_experience_due_to_hypothermia</t>
  </si>
  <si>
    <t>LH7BATT</t>
  </si>
  <si>
    <t>OC15BATT</t>
  </si>
  <si>
    <t>SAEBleedingExperienceActionTaken</t>
  </si>
  <si>
    <t>Bleeding experience action taken:</t>
  </si>
  <si>
    <t>sae_bleeding_experience_action_taken</t>
  </si>
  <si>
    <t>LH7BACT</t>
  </si>
  <si>
    <t>OC15BACT</t>
  </si>
  <si>
    <t>SAEBleedingExperienceOutcome</t>
  </si>
  <si>
    <t>Bleeding experience outcome:</t>
  </si>
  <si>
    <t>sae_bleeding_experience_outcome</t>
  </si>
  <si>
    <t>LH7BOUT</t>
  </si>
  <si>
    <t>OC15BOUT</t>
  </si>
  <si>
    <t>SAEBleedingExperienceComment</t>
  </si>
  <si>
    <t>Bleeding experience comments:</t>
  </si>
  <si>
    <t>sae_bleeding_experience_comment</t>
  </si>
  <si>
    <t>LH7BCOM</t>
  </si>
  <si>
    <t>OC15BCOM</t>
  </si>
  <si>
    <t>SAEAlterationSkinIntegrity</t>
  </si>
  <si>
    <t>Alteration of skin integrity</t>
  </si>
  <si>
    <t>sae_alteration_skin_integrity</t>
  </si>
  <si>
    <t>LH7ALT</t>
  </si>
  <si>
    <t>OC15ALT</t>
  </si>
  <si>
    <t>SAEAlterationSkinIntegrityOnsetDate</t>
  </si>
  <si>
    <t>Skin integrity alteration date of onset</t>
  </si>
  <si>
    <t>sae_alteration_skin_integrity_onset_date</t>
  </si>
  <si>
    <t>OC15ADTO</t>
  </si>
  <si>
    <t>SAEAlterationSkinIntegrityResolveDate</t>
  </si>
  <si>
    <t>Skin integrity alteration date resolved</t>
  </si>
  <si>
    <t>sae_alteration_skin_integrity_resolve_date</t>
  </si>
  <si>
    <t>OC15ADTR</t>
  </si>
  <si>
    <t>SAEAlterationSkinIntegrityDueToHypothermia</t>
  </si>
  <si>
    <t>Skin integrity alteration attributable to hypotherm</t>
  </si>
  <si>
    <t>sae_alteration_skin_integrity_due_to_hypothermia</t>
  </si>
  <si>
    <t>LH7AATT</t>
  </si>
  <si>
    <t>OC15AATT</t>
  </si>
  <si>
    <t>SAEAlterationSkinIntegrityActionTaken</t>
  </si>
  <si>
    <t>Skin integrity alteration action taken:</t>
  </si>
  <si>
    <t>sae_alteration_skin_integrity_action_taken</t>
  </si>
  <si>
    <t>LH7ACT</t>
  </si>
  <si>
    <t>OC15ACT</t>
  </si>
  <si>
    <t>SAEAlterationSkinIntegrityOutcome</t>
  </si>
  <si>
    <t>Skin integrity alteration outcome:</t>
  </si>
  <si>
    <t>sae_alteration_skin_integrity_outcome</t>
  </si>
  <si>
    <t>LH7AOUT</t>
  </si>
  <si>
    <t>OC15AOUT</t>
  </si>
  <si>
    <t>SAEAlterationSkinIntegrityComment</t>
  </si>
  <si>
    <t>Skin integrity alteration comments:</t>
  </si>
  <si>
    <t>sae_alteration_skin_integrity_comment</t>
  </si>
  <si>
    <t>LH7ACOM</t>
  </si>
  <si>
    <t>OC15ACOM</t>
  </si>
  <si>
    <t>SAEDeathDate</t>
  </si>
  <si>
    <t>Death date:</t>
  </si>
  <si>
    <t>sae_death_date</t>
  </si>
  <si>
    <t>LH7DDT</t>
  </si>
  <si>
    <t>OC15DDT</t>
  </si>
  <si>
    <t>SAEDeathTime</t>
  </si>
  <si>
    <t>Death time:</t>
  </si>
  <si>
    <t>sae_death_time</t>
  </si>
  <si>
    <t>LH7DTM</t>
  </si>
  <si>
    <t>OC15DTM</t>
  </si>
  <si>
    <t>SAEDeathDueToHypothermia</t>
  </si>
  <si>
    <t>Death attributable to hypothermia:</t>
  </si>
  <si>
    <t>sae_death_due_to_hypothermia</t>
  </si>
  <si>
    <t>LH7DATT</t>
  </si>
  <si>
    <t>OC15DATT</t>
  </si>
  <si>
    <t>SAEDeathActionTaken</t>
  </si>
  <si>
    <t>Death action taken:</t>
  </si>
  <si>
    <t>sae_death_action_taken</t>
  </si>
  <si>
    <t>LH7DACT</t>
  </si>
  <si>
    <t>OC15DACT</t>
  </si>
  <si>
    <t>SAEDeathOutcome</t>
  </si>
  <si>
    <t>Death outcome:</t>
  </si>
  <si>
    <t>sae_death_outcome</t>
  </si>
  <si>
    <t>LH7DOUT</t>
  </si>
  <si>
    <t>OC15DOUT</t>
  </si>
  <si>
    <t>SAEDeathComment</t>
  </si>
  <si>
    <t>Death comments:</t>
  </si>
  <si>
    <t>sae_death_comment</t>
  </si>
  <si>
    <t>LH7DCOM</t>
  </si>
  <si>
    <t>OC15DCOM</t>
  </si>
  <si>
    <t>SAEOther</t>
  </si>
  <si>
    <t>Other SAE (serious adverse event): Specify</t>
  </si>
  <si>
    <t>sae_other</t>
  </si>
  <si>
    <t>LH7OSAE</t>
  </si>
  <si>
    <t>OC15OSP</t>
  </si>
  <si>
    <t>SAEOtherOnsetDate</t>
  </si>
  <si>
    <t>Other SAE experience date of onset</t>
  </si>
  <si>
    <t>sae_other_onset_date</t>
  </si>
  <si>
    <t>LH7ODTO</t>
  </si>
  <si>
    <t>OC15ODTO</t>
  </si>
  <si>
    <t>SAEOtherOnsetTime</t>
  </si>
  <si>
    <t>Other SAE experience time of onset:</t>
  </si>
  <si>
    <t>sae_other_onset_time</t>
  </si>
  <si>
    <t>LH7OTMO</t>
  </si>
  <si>
    <t>OC15OTMO</t>
  </si>
  <si>
    <t>SAEOtherResolveDate</t>
  </si>
  <si>
    <t>Other SAE experience date resolved</t>
  </si>
  <si>
    <t>sae_other_resolve_date</t>
  </si>
  <si>
    <t>LH7ODTR</t>
  </si>
  <si>
    <t>OC15ODTR</t>
  </si>
  <si>
    <t>SAEOtherResolveTime</t>
  </si>
  <si>
    <t>Other SAE experience time resolved:</t>
  </si>
  <si>
    <t>sae_other_resolve_time</t>
  </si>
  <si>
    <t>LH7OTMR</t>
  </si>
  <si>
    <t>OC15OTMR</t>
  </si>
  <si>
    <t>SAEOtherDueToHypothermia</t>
  </si>
  <si>
    <t>Other SAE attributable to hypothermia:</t>
  </si>
  <si>
    <t>sae_other_due_to_hypothermia</t>
  </si>
  <si>
    <t>LH7OATT</t>
  </si>
  <si>
    <t>OC15OATT</t>
  </si>
  <si>
    <t>SAEOtherActionTaken</t>
  </si>
  <si>
    <t>Other SAE action taken:</t>
  </si>
  <si>
    <t>sae_other_action_taken</t>
  </si>
  <si>
    <t>LH7OACT</t>
  </si>
  <si>
    <t>OC15OACT</t>
  </si>
  <si>
    <t>SAEOtherOutcome</t>
  </si>
  <si>
    <t>Other SAE outcome:</t>
  </si>
  <si>
    <t>sae_other_outcome</t>
  </si>
  <si>
    <t>LH7OOUT</t>
  </si>
  <si>
    <t>OC15OOUT</t>
  </si>
  <si>
    <t>SAEOtherComment</t>
  </si>
  <si>
    <t>Other SAE comments:</t>
  </si>
  <si>
    <t>sae_other_comment</t>
  </si>
  <si>
    <t>LH7OCOM</t>
  </si>
  <si>
    <t>OC15OCOM</t>
  </si>
  <si>
    <t>Violation</t>
  </si>
  <si>
    <t>violationNumber</t>
  </si>
  <si>
    <t>Protocol Violation Number</t>
  </si>
  <si>
    <t>violation_number</t>
  </si>
  <si>
    <t>LH14VINM</t>
  </si>
  <si>
    <t>OC14RPTN</t>
  </si>
  <si>
    <t>violationDate</t>
  </si>
  <si>
    <t>Date of protocol violation</t>
  </si>
  <si>
    <t>violation_date</t>
  </si>
  <si>
    <t>LH14VIDT</t>
  </si>
  <si>
    <t>OC14DATE</t>
  </si>
  <si>
    <t>violationNature</t>
  </si>
  <si>
    <t>Nature of the protocol violation</t>
  </si>
  <si>
    <t>violation_nature</t>
  </si>
  <si>
    <t>LH14VINT</t>
  </si>
  <si>
    <t>OC14NOPV</t>
  </si>
  <si>
    <t>violationTreatmentAssign</t>
  </si>
  <si>
    <t>Treatment the infant was assigned</t>
  </si>
  <si>
    <t>violation_treatment_assign</t>
  </si>
  <si>
    <t>OC14TRAS</t>
  </si>
  <si>
    <t>violationTreatmentReceive</t>
  </si>
  <si>
    <t>Treatment the infant received</t>
  </si>
  <si>
    <t>violation_treatment_receive</t>
  </si>
  <si>
    <t>OC14TRRC</t>
  </si>
  <si>
    <t>violationOtherText</t>
  </si>
  <si>
    <t>If other violation (9), please describe:</t>
  </si>
  <si>
    <t>violation_other_text</t>
  </si>
  <si>
    <t>LH14OTSP</t>
  </si>
  <si>
    <t>OC14PVSP</t>
  </si>
  <si>
    <t>violationCircumstance</t>
  </si>
  <si>
    <t>Circumstances of protocol violation</t>
  </si>
  <si>
    <t>violation_circumstance</t>
  </si>
  <si>
    <t>LH14CIRC</t>
  </si>
  <si>
    <t>OC14CIRC</t>
  </si>
  <si>
    <t>violationOtherCirumstanceText</t>
  </si>
  <si>
    <t>If other circumstances, specify:</t>
  </si>
  <si>
    <t>violation_other_cirumstance_text</t>
  </si>
  <si>
    <t>LH14CIRS</t>
  </si>
  <si>
    <t>OC14CIRS</t>
  </si>
  <si>
    <t>violationComment</t>
  </si>
  <si>
    <t>Additional comments</t>
  </si>
  <si>
    <t>violation_comment</t>
  </si>
  <si>
    <t>LH14INFO</t>
  </si>
  <si>
    <t>OC14COMM</t>
  </si>
  <si>
    <t>Interrupt</t>
  </si>
  <si>
    <t>interruptNumber</t>
  </si>
  <si>
    <t>Report Number (form completed for each TH interruption &gt;15mins)</t>
  </si>
  <si>
    <t>interrupt_number</t>
  </si>
  <si>
    <t>OC10RPTN</t>
  </si>
  <si>
    <t>interrupt</t>
  </si>
  <si>
    <t>Was cooling interrupted for any reason?</t>
  </si>
  <si>
    <t>OC10INT</t>
  </si>
  <si>
    <t>interruptReason</t>
  </si>
  <si>
    <t>Reason cooling interrupted</t>
  </si>
  <si>
    <t>interrupt_reason</t>
  </si>
  <si>
    <t>OC10INTR</t>
  </si>
  <si>
    <t>interruptReasonText</t>
  </si>
  <si>
    <t>Reason cooling interrupted Specify</t>
  </si>
  <si>
    <t>interrupt_reason_text</t>
  </si>
  <si>
    <t>OC10SPFY</t>
  </si>
  <si>
    <t>interruptDate</t>
  </si>
  <si>
    <t>Date when intervention was interrupted</t>
  </si>
  <si>
    <t>interrupt_date</t>
  </si>
  <si>
    <t>OC10IDAT</t>
  </si>
  <si>
    <t>interruptTime</t>
  </si>
  <si>
    <t>Time when intervention interrupted</t>
  </si>
  <si>
    <t>interrupt_time</t>
  </si>
  <si>
    <t>OC10ITIM</t>
  </si>
  <si>
    <t>interruptRestartDate</t>
  </si>
  <si>
    <t>Date when intervention restarted</t>
  </si>
  <si>
    <t>interrupt_restart_date</t>
  </si>
  <si>
    <t>OC10RDAT</t>
  </si>
  <si>
    <t>interruptRestartTime</t>
  </si>
  <si>
    <t>Time when intervention restarted</t>
  </si>
  <si>
    <t>interrupt_restart_time</t>
  </si>
  <si>
    <t>OC10RTIM</t>
  </si>
  <si>
    <t>interruptRestartEsophagealTemperature_C</t>
  </si>
  <si>
    <t>Esophageal temperature when intervention restarted</t>
  </si>
  <si>
    <t>interrupt_restart_esophageal_temperature_c</t>
  </si>
  <si>
    <t>OC10TEMP</t>
  </si>
  <si>
    <t>Discontinue</t>
  </si>
  <si>
    <t>discontinueDate</t>
  </si>
  <si>
    <t>Date when intervention discontinued</t>
  </si>
  <si>
    <t>discontinue_date</t>
  </si>
  <si>
    <t>LH10DTDC</t>
  </si>
  <si>
    <t>OC6NCEDT</t>
  </si>
  <si>
    <t>discontinueTime</t>
  </si>
  <si>
    <t>Time when intervention discontinued</t>
  </si>
  <si>
    <t>discontinue_time</t>
  </si>
  <si>
    <t>LH10TMDC</t>
  </si>
  <si>
    <t>OC6NCETM</t>
  </si>
  <si>
    <t>discontinueBeforeEndPeriod</t>
  </si>
  <si>
    <t>intervention discontinued prior to 96 hours?</t>
  </si>
  <si>
    <t>discontinue_before_end_period</t>
  </si>
  <si>
    <t>OC: inverse of value</t>
  </si>
  <si>
    <t>LH10DC96</t>
  </si>
  <si>
    <t>OC6CLTEP</t>
  </si>
  <si>
    <t>discontinueParentsWithdraw</t>
  </si>
  <si>
    <t>parents withdrew consent</t>
  </si>
  <si>
    <t>discontinue_parents_withdraw</t>
  </si>
  <si>
    <t>OC: from OC6NCEPR = 1</t>
  </si>
  <si>
    <t>LH10PARW</t>
  </si>
  <si>
    <t>discontinuePhysicianWithdraw</t>
  </si>
  <si>
    <t>physician withdrew infant from study</t>
  </si>
  <si>
    <t>discontinue_physician_withdraw</t>
  </si>
  <si>
    <t>OC: from OC6NCEPR = 2</t>
  </si>
  <si>
    <t>LH10MDWD</t>
  </si>
  <si>
    <t>discontinueAdverseEvent</t>
  </si>
  <si>
    <t>adverse event</t>
  </si>
  <si>
    <t>discontinue_adverse_event</t>
  </si>
  <si>
    <t>OC: from OC6NCEPR = 3</t>
  </si>
  <si>
    <t>LH10ADVR</t>
  </si>
  <si>
    <t>discontinueECMO</t>
  </si>
  <si>
    <t>ECMO</t>
  </si>
  <si>
    <t>discontinue_ecmo</t>
  </si>
  <si>
    <t>OC: from OC6NCEPR = 4</t>
  </si>
  <si>
    <t>LH10EMCO</t>
  </si>
  <si>
    <t>discontinueDNR</t>
  </si>
  <si>
    <t>discontinue_dnr</t>
  </si>
  <si>
    <t>OC: from OC6NCEPR = 5</t>
  </si>
  <si>
    <t>discontinueWdrawSupport</t>
  </si>
  <si>
    <t>discontinue_wdraw_support</t>
  </si>
  <si>
    <t>OC: from OC6NCEPR = 6</t>
  </si>
  <si>
    <t>discontinueDeath</t>
  </si>
  <si>
    <t>discontinue_death</t>
  </si>
  <si>
    <t>OC: from OC6NCEPR = 7</t>
  </si>
  <si>
    <t>LH10DEAT</t>
  </si>
  <si>
    <t>discontinueOther</t>
  </si>
  <si>
    <t>other</t>
  </si>
  <si>
    <t>discontinue_other</t>
  </si>
  <si>
    <t>OC: from OC6NCEPR = 9</t>
  </si>
  <si>
    <t>LH10OTH</t>
  </si>
  <si>
    <t>discontinueOtherText</t>
  </si>
  <si>
    <t>specify (other)</t>
  </si>
  <si>
    <t>discontinue_other_text</t>
  </si>
  <si>
    <t>LH10OTHS</t>
  </si>
  <si>
    <t>OC6NCERS</t>
  </si>
  <si>
    <t>Post-intervention</t>
  </si>
  <si>
    <t>post_TemperatureTimeSlot_day</t>
  </si>
  <si>
    <t>Day Interval of highest temperature recording</t>
  </si>
  <si>
    <t>post_temperature_time_slot_day</t>
  </si>
  <si>
    <t>L6AHTDAY</t>
  </si>
  <si>
    <t>OC6DINTV</t>
  </si>
  <si>
    <t>post_TemperatureDate</t>
  </si>
  <si>
    <t>Date of highest temperature recording</t>
  </si>
  <si>
    <t>post_temperature_date</t>
  </si>
  <si>
    <t>L6AHTDT</t>
  </si>
  <si>
    <t>OC6DTPDT</t>
  </si>
  <si>
    <t>post_TemperatureTime</t>
  </si>
  <si>
    <t>Time of highest temperature recording</t>
  </si>
  <si>
    <t>post_temperature_time</t>
  </si>
  <si>
    <t>L6AHTTM</t>
  </si>
  <si>
    <t>OC6DTPTM</t>
  </si>
  <si>
    <t>post_SkinTemperature_C</t>
  </si>
  <si>
    <t>Highest Skin temperature</t>
  </si>
  <si>
    <t>post_skin_temperature_c</t>
  </si>
  <si>
    <t>L6AHTST</t>
  </si>
  <si>
    <t>OC6DSKNT</t>
  </si>
  <si>
    <t>post_AxillaryTemperature_C</t>
  </si>
  <si>
    <t>Highest Axillary temperature</t>
  </si>
  <si>
    <t>post_axillary_temperature_c</t>
  </si>
  <si>
    <t>L6AHTAT</t>
  </si>
  <si>
    <t>OC6DAXIT</t>
  </si>
  <si>
    <t>post_AlterationSkinIntegrity</t>
  </si>
  <si>
    <t>Alteration of Skin Integrity? over day of treatment</t>
  </si>
  <si>
    <t>post_alteration_skin_integrity</t>
  </si>
  <si>
    <t>OC6DASI</t>
  </si>
  <si>
    <t>post_Shiver</t>
  </si>
  <si>
    <t>Shivering? over day of treatment</t>
  </si>
  <si>
    <t>post_shiver</t>
  </si>
  <si>
    <t>OC6DSHIV</t>
  </si>
  <si>
    <t>normothermiaAtEndIntervention</t>
  </si>
  <si>
    <t>Infant reached normothermia at conclusion of intervention?</t>
  </si>
  <si>
    <t>normothermia_at_end_intervention</t>
  </si>
  <si>
    <t>OC6RCHNT</t>
  </si>
  <si>
    <t>normothermiaDate</t>
  </si>
  <si>
    <t>Date Infant reached normothermia</t>
  </si>
  <si>
    <t>normothermia_date</t>
  </si>
  <si>
    <t>OC6RNDAT</t>
  </si>
  <si>
    <t>normothermiaTime</t>
  </si>
  <si>
    <t>Time Infant reached normothermia</t>
  </si>
  <si>
    <t>normothermia_time</t>
  </si>
  <si>
    <t>OC6RNTIM</t>
  </si>
  <si>
    <t>normothermiaAxillaryTemperature_C</t>
  </si>
  <si>
    <t>Axillary Temp at time normothermia reached</t>
  </si>
  <si>
    <t>normothermia_axillary_temperature_c</t>
  </si>
  <si>
    <t>OC6RNTMP</t>
  </si>
  <si>
    <t>noNormothermiaReason</t>
  </si>
  <si>
    <t>Reason Infant did not reach normothermia</t>
  </si>
  <si>
    <t>no_normothermia_reason</t>
  </si>
  <si>
    <t>OC6RNNRN</t>
  </si>
  <si>
    <t>coolAfterIntervention</t>
  </si>
  <si>
    <t>Cooling Treatment after intervention</t>
  </si>
  <si>
    <t>cool_after_intervention</t>
  </si>
  <si>
    <t>OC6NCECC</t>
  </si>
  <si>
    <t>coolAfterInterventionText</t>
  </si>
  <si>
    <t>Cooling Treatement after intervention Specify</t>
  </si>
  <si>
    <t>cool_after_intervention_text</t>
  </si>
  <si>
    <t>OC6NCECS</t>
  </si>
  <si>
    <t>post_BloodValueASTSGOT_UPerL</t>
  </si>
  <si>
    <t>end-of-study AST/SGOT (U/L)</t>
  </si>
  <si>
    <t>post_blood_value_ast_sgot_uperl</t>
  </si>
  <si>
    <t>OC9ASES</t>
  </si>
  <si>
    <t>post_BloodValueASTSGOT_UPerLDate</t>
  </si>
  <si>
    <t>date of end-of-study AST/SGOT</t>
  </si>
  <si>
    <t>post_blood_value_ast_sgot_uperl_date</t>
  </si>
  <si>
    <t>OC9ASESD</t>
  </si>
  <si>
    <t>post_BloodValueALTSGPT_UPerL</t>
  </si>
  <si>
    <t>end-of-study ALT/SGPT (U/L)</t>
  </si>
  <si>
    <t>post_blood_value_alt_sgpt_uperl</t>
  </si>
  <si>
    <t>OC9ALES</t>
  </si>
  <si>
    <t>post_BloodValueALTSGPT_UPerLDate</t>
  </si>
  <si>
    <t>date of end-of-study ALT/SGPT</t>
  </si>
  <si>
    <t>post_blood_value_alt_sgpt_uperl_date</t>
  </si>
  <si>
    <t>OC9ALESD</t>
  </si>
  <si>
    <t>post_BloodValueTotalBilirubin_mgPerdL</t>
  </si>
  <si>
    <t>end-of-study total Bilirubin (mg/dL)</t>
  </si>
  <si>
    <t>post_blood_value_total_bilirubin_mgperdl</t>
  </si>
  <si>
    <t>OC9TBES</t>
  </si>
  <si>
    <t>post_BloodValueTotalBilirubin_mgPerdLDate</t>
  </si>
  <si>
    <t>date of end-of-study total Bilirubin</t>
  </si>
  <si>
    <t>post_blood_value_total_bilirubin_mgperdl_date</t>
  </si>
  <si>
    <t>OC9TBESD</t>
  </si>
  <si>
    <t>post_HeadSonogram</t>
  </si>
  <si>
    <t>post_head_sonogram</t>
  </si>
  <si>
    <t>LH: interval as 3</t>
  </si>
  <si>
    <t>post_HeadSonogramDate</t>
  </si>
  <si>
    <t>post_head_sonogram_date</t>
  </si>
  <si>
    <t>post_HeadSonogramTime</t>
  </si>
  <si>
    <t>post_head_sonogram_time</t>
  </si>
  <si>
    <t>post_HeadSonogramResult1</t>
  </si>
  <si>
    <t>post_head_sonogram_result1</t>
  </si>
  <si>
    <t>post_HeadSonogramResult2</t>
  </si>
  <si>
    <t>post_head_sonogram_result2</t>
  </si>
  <si>
    <t>post_HeadSonogramResult3</t>
  </si>
  <si>
    <t>post_head_sonogram_result3</t>
  </si>
  <si>
    <t>post_HeadSonogramResult4</t>
  </si>
  <si>
    <t>post_head_sonogram_result4</t>
  </si>
  <si>
    <t>post_HeadSonogramResult5</t>
  </si>
  <si>
    <t>post_head_sonogram_result5</t>
  </si>
  <si>
    <t>post_HeadSonogramResult6</t>
  </si>
  <si>
    <t>post_head_sonogram_result6</t>
  </si>
  <si>
    <t>post_HeadSonogramResult7</t>
  </si>
  <si>
    <t>post_head_sonogram_result7</t>
  </si>
  <si>
    <t>post_HeadSonogramResult8</t>
  </si>
  <si>
    <t>post_head_sonogram_result8</t>
  </si>
  <si>
    <t>post_HeadSonogramResultText</t>
  </si>
  <si>
    <t>post_head_sonogram_result_text</t>
  </si>
  <si>
    <t>post_HeadCT</t>
  </si>
  <si>
    <t>post_head_ct</t>
  </si>
  <si>
    <t>post_HeadCTDate</t>
  </si>
  <si>
    <t>post_head_ct_date</t>
  </si>
  <si>
    <t>post_HeadCTTime</t>
  </si>
  <si>
    <t>post_head_ct_time</t>
  </si>
  <si>
    <t>post_HeadCTResult1</t>
  </si>
  <si>
    <t>post_head_ct_result1</t>
  </si>
  <si>
    <t>post_HeadCTResult2</t>
  </si>
  <si>
    <t>post_head_ct_result2</t>
  </si>
  <si>
    <t>post_HeadCTResult3</t>
  </si>
  <si>
    <t>post_head_ct_result3</t>
  </si>
  <si>
    <t>post_HeadCTResult4</t>
  </si>
  <si>
    <t>post_head_ct_result4</t>
  </si>
  <si>
    <t>post_HeadCTResult5</t>
  </si>
  <si>
    <t>post_head_ct_result5</t>
  </si>
  <si>
    <t>post_HeadCTResult6</t>
  </si>
  <si>
    <t>post_head_ct_result6</t>
  </si>
  <si>
    <t>post_HeadCTResult7</t>
  </si>
  <si>
    <t>post_head_ct_result7</t>
  </si>
  <si>
    <t>post_HeadCTResult8</t>
  </si>
  <si>
    <t>post_head_ct_result8</t>
  </si>
  <si>
    <t>post_HeadCTResultText</t>
  </si>
  <si>
    <t>post_head_ct_result_text</t>
  </si>
  <si>
    <t>post_BrainMRI</t>
  </si>
  <si>
    <t>post_brain_mri</t>
  </si>
  <si>
    <t>post_BrainMRIDate</t>
  </si>
  <si>
    <t>post_brain_mri_date</t>
  </si>
  <si>
    <t>post_BrainMRITime</t>
  </si>
  <si>
    <t>post_brain_mri_time</t>
  </si>
  <si>
    <t>post_BrainMRIResult1</t>
  </si>
  <si>
    <t>post_brain_mri_result1</t>
  </si>
  <si>
    <t>post_BrainMRIResult2</t>
  </si>
  <si>
    <t>post_brain_mri_result2</t>
  </si>
  <si>
    <t>post_BrainMRIResult3</t>
  </si>
  <si>
    <t>post_brain_mri_result3</t>
  </si>
  <si>
    <t>post_BrainMRIResult4</t>
  </si>
  <si>
    <t>post_brain_mri_result4</t>
  </si>
  <si>
    <t>post_BrainMRIResult5</t>
  </si>
  <si>
    <t>post_brain_mri_result5</t>
  </si>
  <si>
    <t>post_BrainMRIResult6</t>
  </si>
  <si>
    <t>post_brain_mri_result6</t>
  </si>
  <si>
    <t>post_BrainMRIResult7</t>
  </si>
  <si>
    <t>post_brain_mri_result7</t>
  </si>
  <si>
    <t>post_BrainMRIResult8</t>
  </si>
  <si>
    <t>post_brain_mri_result8</t>
  </si>
  <si>
    <t>post_BrainMRIResultText</t>
  </si>
  <si>
    <t>post_brain_mri_result_text</t>
  </si>
  <si>
    <t>post_NeuroExamSectionID</t>
  </si>
  <si>
    <t>Section ID Neuro Examiniation post-treatment or at death/discharge</t>
  </si>
  <si>
    <t>post_neuro_exam_section_id</t>
  </si>
  <si>
    <t>OC11EXNM</t>
  </si>
  <si>
    <t>post_NeuroExam</t>
  </si>
  <si>
    <t>Was a neuro exam performed between 24 and 48hrs after normothermia</t>
  </si>
  <si>
    <t>post_neuro_exam</t>
  </si>
  <si>
    <t>OC11EXDN</t>
  </si>
  <si>
    <t>post_NeuroExamDate</t>
  </si>
  <si>
    <t>Neuro Exam Date</t>
  </si>
  <si>
    <t>post_neuro_exam_date</t>
  </si>
  <si>
    <t>LH11DT_1</t>
  </si>
  <si>
    <t>OC11EXDT</t>
  </si>
  <si>
    <t>post_NeuroExamTime</t>
  </si>
  <si>
    <t>Neuro Exam Time</t>
  </si>
  <si>
    <t>post_neuro_exam_time</t>
  </si>
  <si>
    <t>LH11TM_1</t>
  </si>
  <si>
    <t>OC11EXTM</t>
  </si>
  <si>
    <t>post_NeuroExamLevelConsciousness</t>
  </si>
  <si>
    <t>24-48 Hrs after normothermia Neuro Exam (108-132 hrs in LH, 24-48 hrs post normo in OC): Level of Consciousness</t>
  </si>
  <si>
    <t>post_neuro_exam_level_consciousness</t>
  </si>
  <si>
    <t>LH11LC_1</t>
  </si>
  <si>
    <t>OC11C_LC</t>
  </si>
  <si>
    <t>post_NeuroExamSpontaneousActivity</t>
  </si>
  <si>
    <t>24-48 Hrs after normothermia Neuro Exam (108-132 hrs in LH, 24-48 hrs post normo in OC): Spontaneous Activity</t>
  </si>
  <si>
    <t>post_neuro_exam_spontaneous_activity</t>
  </si>
  <si>
    <t>LH11SP_1</t>
  </si>
  <si>
    <t>OC11CSPA</t>
  </si>
  <si>
    <t>post_NeuroExamPosture</t>
  </si>
  <si>
    <t>24-48 Hrs after normothermia Neuro Exam (108-132 hrs in LH, 24-48 hrs post normo in OC): Posture</t>
  </si>
  <si>
    <t>post_neuro_exam_posture</t>
  </si>
  <si>
    <t>LH11PO_1</t>
  </si>
  <si>
    <t>OC11CPOS</t>
  </si>
  <si>
    <t>post_NeuroExamTone</t>
  </si>
  <si>
    <t>Decreased Tone</t>
  </si>
  <si>
    <t>post_neuro_exam_tone</t>
  </si>
  <si>
    <t>LH11TO_1</t>
  </si>
  <si>
    <t>OC11C_DT</t>
  </si>
  <si>
    <t>post_NeuroExamSuck</t>
  </si>
  <si>
    <t>24-48 Hrs after normothermia Neuro Exam (108-132 hrs in LH, 24-48 hrs post normo in OC): Primitive Reflexes: Suck</t>
  </si>
  <si>
    <t>post_neuro_exam_suck</t>
  </si>
  <si>
    <t>LH11SC_1</t>
  </si>
  <si>
    <t>OC11CPRS</t>
  </si>
  <si>
    <t>post_NeuroExamMoro</t>
  </si>
  <si>
    <t>24-48 Hrs after normothermia Neuro Exam (108-132 hrs in LH, 24-48 hrs post normo in OC): Primitive Reflexes: Moro</t>
  </si>
  <si>
    <t>post_neuro_exam_moro</t>
  </si>
  <si>
    <t>LH11MR_1</t>
  </si>
  <si>
    <t>OC11CPRM</t>
  </si>
  <si>
    <t>post_NeuroExamPupils</t>
  </si>
  <si>
    <t>24-48 Hrs after normothermia Neuro Exam (108-132 hrs in LH, 24-48 hrs post normo in OC): Autonomic System: Pupils</t>
  </si>
  <si>
    <t>post_neuro_exam_pupils</t>
  </si>
  <si>
    <t>LH11PU_1</t>
  </si>
  <si>
    <t>OC11CASP</t>
  </si>
  <si>
    <t>post_NeuroExamHeartRate</t>
  </si>
  <si>
    <t>24-48 Hrs after normothermia Neuro Exam (108-132 hrs in LH, 24-48 hrs post normo in OC): Autonomic System: Heart rate</t>
  </si>
  <si>
    <t>post_neuro_exam_heart_rate</t>
  </si>
  <si>
    <t>LH11HR_1</t>
  </si>
  <si>
    <t>OC11CASH</t>
  </si>
  <si>
    <t>post_NeuroExamRespiration</t>
  </si>
  <si>
    <t>Autonomic System: Respiration</t>
  </si>
  <si>
    <t>post_neuro_exam_respiration</t>
  </si>
  <si>
    <t>LH11RS_1</t>
  </si>
  <si>
    <t>OC11CASR</t>
  </si>
  <si>
    <t>post_NeuroExamSeizure</t>
  </si>
  <si>
    <t>24-48 Hrs after normothermia Neuro Exam (108-132 hrs in LH, 24-48 hrs post normo in OC): Clinical seizures?</t>
  </si>
  <si>
    <t>post_neuro_exam_seizure</t>
  </si>
  <si>
    <t>LH11SZ_1</t>
  </si>
  <si>
    <t>OC11CLSZ</t>
  </si>
  <si>
    <t>post_NeuroExamSedate</t>
  </si>
  <si>
    <t>24-48 Hrs after normothermia Neuro Exam (108-132 hrs in LH, 24-48 hrs post normo in OC): Was Infant sedated?</t>
  </si>
  <si>
    <t>post_neuro_exam_sedate</t>
  </si>
  <si>
    <t>LH11SE_1</t>
  </si>
  <si>
    <t>OC11ISED</t>
  </si>
  <si>
    <t>post_NeuroExamClonusSustained</t>
  </si>
  <si>
    <t>24-48 Hrs after normothermia Neuro Exam (108-132 hrs in LH, 24-48 hrs post normo in OC): Additional Findings: Clonus -- sustained</t>
  </si>
  <si>
    <t>post_neuro_exam_clonus_sustained</t>
  </si>
  <si>
    <t>LH11CL_1</t>
  </si>
  <si>
    <t>OC11AFCL</t>
  </si>
  <si>
    <t>post_NeuroExamFistedHand</t>
  </si>
  <si>
    <t>24-48 Hrs after normothermia Neuro Exam (108-132 hrs in LH, 24-48 hrs post normo in OC): Additional Findings: Fisted hand</t>
  </si>
  <si>
    <t>post_neuro_exam_fisted_hand</t>
  </si>
  <si>
    <t>LH11FS_1</t>
  </si>
  <si>
    <t>OC11AFFH</t>
  </si>
  <si>
    <t>post_NeuroExamAbnormalMovement</t>
  </si>
  <si>
    <t>24-48 Hrs after normothermia Neuro Exam (108-132 hrs in LH, 24-48 hrs post normo in OC): Additional Findings: Abnormal Movements</t>
  </si>
  <si>
    <t>post_neuro_exam_abnormal_movement</t>
  </si>
  <si>
    <t>LH11MO_1</t>
  </si>
  <si>
    <t>OC11AFAM</t>
  </si>
  <si>
    <t>post_NeuroExamGagReflexAbsent</t>
  </si>
  <si>
    <t>24-48 Hrs after normothermia Neuro Exam (108-132 hrs in LH, 24-48 hrs post normo in OC): Additional Findings: Gag reflex absent</t>
  </si>
  <si>
    <t>post_neuro_exam_gag_reflex_absent</t>
  </si>
  <si>
    <t>LH11GA_1</t>
  </si>
  <si>
    <t>OC11AFGR</t>
  </si>
  <si>
    <t>post_NeuroExamHypertonia</t>
  </si>
  <si>
    <t>108-132 Hrs Neuro Exam: Hypertonia</t>
  </si>
  <si>
    <t>post_neuro_exam_hypertonia</t>
  </si>
  <si>
    <t>LH11HY_1</t>
  </si>
  <si>
    <t>post_NeuroExamAsymTonicNeckReflex</t>
  </si>
  <si>
    <t>post_neuro_exam_asym_tonic_neck_reflex</t>
  </si>
  <si>
    <t>OC11AFNR</t>
  </si>
  <si>
    <t>post_NeuroExamLevelConsciousnessScore</t>
  </si>
  <si>
    <t>post_neuro_exam_level_consciousness_score</t>
  </si>
  <si>
    <t>post_NeuroExamSpontaneousActivityScore</t>
  </si>
  <si>
    <t>post_neuro_exam_spontaneous_activity_score</t>
  </si>
  <si>
    <t>post_NeuroExamPostureScore</t>
  </si>
  <si>
    <t>post_neuro_exam_posture_score</t>
  </si>
  <si>
    <t>post_NeuroExamToneScore</t>
  </si>
  <si>
    <t>post_neuro_exam_tone_score</t>
  </si>
  <si>
    <t>post_NeuroExamSuckScore</t>
  </si>
  <si>
    <t>post_neuro_exam_suck_score</t>
  </si>
  <si>
    <t>post_NeuroExamMoroScore</t>
  </si>
  <si>
    <t>post_neuro_exam_moro_score</t>
  </si>
  <si>
    <t>post_NeuroExamPupilsScore</t>
  </si>
  <si>
    <t>post_neuro_exam_pupils_score</t>
  </si>
  <si>
    <t>post_NeuroExamHeartRateScore</t>
  </si>
  <si>
    <t>post_neuro_exam_heart_rate_score</t>
  </si>
  <si>
    <t>post_NeuroExamRespirationScore</t>
  </si>
  <si>
    <t>post_neuro_exam_respiration_score</t>
  </si>
  <si>
    <t>post_NeuroExamReflexScore</t>
  </si>
  <si>
    <t>post_neuro_exam_reflex_score</t>
  </si>
  <si>
    <t>post_NeuroExamANSScore</t>
  </si>
  <si>
    <t>post_neuro_exam_ans_score</t>
  </si>
  <si>
    <t>post_TotalModifiedSarnatScore</t>
  </si>
  <si>
    <t>total modified Sarnat scores of neuro exam in post-intervention</t>
  </si>
  <si>
    <t>post_total_modified_sarnat_score</t>
  </si>
  <si>
    <t>MRI</t>
  </si>
  <si>
    <t>OPTCID</t>
  </si>
  <si>
    <t>MRIAvailable</t>
  </si>
  <si>
    <t>was MRI available</t>
  </si>
  <si>
    <t>mri_available</t>
  </si>
  <si>
    <t>LM1AVAI</t>
  </si>
  <si>
    <t>OM1MRIA</t>
  </si>
  <si>
    <t>MRIAvailable_c</t>
  </si>
  <si>
    <t>mri_available_c</t>
  </si>
  <si>
    <t>OM1MRIA_code</t>
  </si>
  <si>
    <t>MRIObtain</t>
  </si>
  <si>
    <t>was MRI obtained</t>
  </si>
  <si>
    <t>mri_obtain</t>
  </si>
  <si>
    <t>LM1OBTA</t>
  </si>
  <si>
    <t>MRIObtainWindow</t>
  </si>
  <si>
    <t>MRI obtained window</t>
  </si>
  <si>
    <t>mri_obtain_window</t>
  </si>
  <si>
    <t>OM1MRIW</t>
  </si>
  <si>
    <t>MRIObtainWindow_c</t>
  </si>
  <si>
    <t>mri_obtain_window_c</t>
  </si>
  <si>
    <t>OM1MRIW_code</t>
  </si>
  <si>
    <t>MRIDate</t>
  </si>
  <si>
    <t>date of MRI</t>
  </si>
  <si>
    <t>mri_date</t>
  </si>
  <si>
    <t>LM1DATE</t>
  </si>
  <si>
    <t>MRITime</t>
  </si>
  <si>
    <t>time of MRI</t>
  </si>
  <si>
    <t>mri_time</t>
  </si>
  <si>
    <t>LM1TIME</t>
  </si>
  <si>
    <t>MRIObtainComment</t>
  </si>
  <si>
    <t>mri_obtain_comment</t>
  </si>
  <si>
    <t>OM1COMM</t>
  </si>
  <si>
    <t>MRISendRTIDate</t>
  </si>
  <si>
    <t>date sent to RTI</t>
  </si>
  <si>
    <t>mri_send_rti_date</t>
  </si>
  <si>
    <t>LM1SENT</t>
  </si>
  <si>
    <t>OM2RTSIDT</t>
  </si>
  <si>
    <t>MRIReceiveRTIDate</t>
  </si>
  <si>
    <t>date received at RTI</t>
  </si>
  <si>
    <t>mri_receive_rti_date</t>
  </si>
  <si>
    <t>OM2RTIRDT</t>
  </si>
  <si>
    <t>MRINoObtainReason</t>
  </si>
  <si>
    <t>reason of unable obtaining the de-identified MRI</t>
  </si>
  <si>
    <t>mri_no_obtain_reason</t>
  </si>
  <si>
    <t>LM1REAS</t>
  </si>
  <si>
    <t>OM1MRIR</t>
  </si>
  <si>
    <t>MRINoObtainReason_c</t>
  </si>
  <si>
    <t>mri_no_obtain_reason_c</t>
  </si>
  <si>
    <t>OM1MRIR_code</t>
  </si>
  <si>
    <t>MRINoObtainReasonText</t>
  </si>
  <si>
    <t>reason of unable obtaining the de-identified MRI - specific</t>
  </si>
  <si>
    <t>mri_no_obtain_reason_text</t>
  </si>
  <si>
    <t>OM1MRIS</t>
  </si>
  <si>
    <t>LM2DATE</t>
  </si>
  <si>
    <t>OM2MRIDT</t>
  </si>
  <si>
    <t>LM2TIME</t>
  </si>
  <si>
    <t>OM2MRITM</t>
  </si>
  <si>
    <t>MRIRead</t>
  </si>
  <si>
    <t>MRI read by site neuroradiologist?</t>
  </si>
  <si>
    <t>mri_read</t>
  </si>
  <si>
    <t>LM2READ</t>
  </si>
  <si>
    <t>MRIScore</t>
  </si>
  <si>
    <t>MRINRNPatternOfInjury</t>
  </si>
  <si>
    <t>MRI score</t>
  </si>
  <si>
    <t>mri_score</t>
  </si>
  <si>
    <t>LM2CLASS</t>
  </si>
  <si>
    <t>DateCreated</t>
  </si>
  <si>
    <t>DateComplete</t>
  </si>
  <si>
    <t>FormStatus</t>
  </si>
  <si>
    <t>KeyedUser</t>
  </si>
  <si>
    <t>MRIIteration</t>
  </si>
  <si>
    <t>MRI iteration</t>
  </si>
  <si>
    <t>mri_iteration</t>
  </si>
  <si>
    <t>Iteration</t>
  </si>
  <si>
    <t>MRIIncrement</t>
  </si>
  <si>
    <t>mri_increment</t>
  </si>
  <si>
    <t>Increment</t>
  </si>
  <si>
    <t>Site</t>
  </si>
  <si>
    <t>MRIID</t>
  </si>
  <si>
    <t>mriid</t>
  </si>
  <si>
    <t>LHMRIID</t>
  </si>
  <si>
    <t>LM3ID</t>
  </si>
  <si>
    <t>reader</t>
  </si>
  <si>
    <t>LM3READ</t>
  </si>
  <si>
    <t>OM3READR</t>
  </si>
  <si>
    <t>MRIReader</t>
  </si>
  <si>
    <t>mri_reader</t>
  </si>
  <si>
    <t>LM3READ_code</t>
  </si>
  <si>
    <t>OM3READR_code</t>
  </si>
  <si>
    <t>reader-adj</t>
  </si>
  <si>
    <t>OM3RDRSTAT</t>
  </si>
  <si>
    <t>reader-adj code</t>
  </si>
  <si>
    <t>OM3RDRSTAT_code</t>
  </si>
  <si>
    <t>reader-adj specify</t>
  </si>
  <si>
    <t>OM3RDRSTATSP</t>
  </si>
  <si>
    <t>MRIReadDate</t>
  </si>
  <si>
    <t>date of reading</t>
  </si>
  <si>
    <t>mri_read_date</t>
  </si>
  <si>
    <t>LM3RDATE</t>
  </si>
  <si>
    <t>OM3READD</t>
  </si>
  <si>
    <t>LM3MDATE</t>
  </si>
  <si>
    <t>OM3MRIDT</t>
  </si>
  <si>
    <t>MRIStrength_T</t>
  </si>
  <si>
    <t>MRI stength (T)</t>
  </si>
  <si>
    <t>mri_strength_t</t>
  </si>
  <si>
    <t>LM3MSTRH</t>
  </si>
  <si>
    <t>OM3MFS</t>
  </si>
  <si>
    <t>MRIStrength_c</t>
  </si>
  <si>
    <t>mri_strength_c</t>
  </si>
  <si>
    <t>LM3MSTRH_code</t>
  </si>
  <si>
    <t>MRIAdequateQuality</t>
  </si>
  <si>
    <t>adequate quality</t>
  </si>
  <si>
    <t>mri_adequate_quality</t>
  </si>
  <si>
    <t>LM3AQUAL</t>
  </si>
  <si>
    <t>OM3ADQL</t>
  </si>
  <si>
    <t>MRIAdequateQuality_c</t>
  </si>
  <si>
    <t>mri_adequate_quality_c</t>
  </si>
  <si>
    <t>LM3AQUAL_code</t>
  </si>
  <si>
    <t>OM3ADQL_code</t>
  </si>
  <si>
    <t>MRIT1Axial</t>
  </si>
  <si>
    <t>is T1 axial obtained</t>
  </si>
  <si>
    <t>mri_t1_axial</t>
  </si>
  <si>
    <t>LM3T1A</t>
  </si>
  <si>
    <t>OM3T1_1</t>
  </si>
  <si>
    <t>MRIT1Axial_c</t>
  </si>
  <si>
    <t>mri_t1_axial_c</t>
  </si>
  <si>
    <t>LM3T1A_code</t>
  </si>
  <si>
    <t>MRIT1Coronal</t>
  </si>
  <si>
    <t>is T1 coronal obtained</t>
  </si>
  <si>
    <t>mri_t1_coronal</t>
  </si>
  <si>
    <t>LM3T1C</t>
  </si>
  <si>
    <t>OM3T1_2</t>
  </si>
  <si>
    <t>MRIT1Coronal_c</t>
  </si>
  <si>
    <t>mri_t1_coronal_c</t>
  </si>
  <si>
    <t>LM3T1C_code</t>
  </si>
  <si>
    <t>MRIT1Sagittal</t>
  </si>
  <si>
    <t>is T1 sagittal obtained</t>
  </si>
  <si>
    <t>mri_t1_sagittal</t>
  </si>
  <si>
    <t>LM3T1S</t>
  </si>
  <si>
    <t>OM3T1_3</t>
  </si>
  <si>
    <t>MRIT1Sagittal_c</t>
  </si>
  <si>
    <t>mri_t1_sagittal_c</t>
  </si>
  <si>
    <t>LM3T1S_code</t>
  </si>
  <si>
    <t>MRIT1</t>
  </si>
  <si>
    <t xml:space="preserve">T1 - </t>
  </si>
  <si>
    <t>mri_t1</t>
  </si>
  <si>
    <t>OM3T1_</t>
  </si>
  <si>
    <t>MRIT2Axial</t>
  </si>
  <si>
    <t>T2 axial</t>
  </si>
  <si>
    <t>mri_t2_axial</t>
  </si>
  <si>
    <t>LM3T2A</t>
  </si>
  <si>
    <t>OM3T2_1</t>
  </si>
  <si>
    <t>MRIT2Axial_c</t>
  </si>
  <si>
    <t>mri_t2_axial_c</t>
  </si>
  <si>
    <t>LM3T2A_code</t>
  </si>
  <si>
    <t>MRIT2Coronal</t>
  </si>
  <si>
    <t>T2 coronal</t>
  </si>
  <si>
    <t>mri_t2_coronal</t>
  </si>
  <si>
    <t>LM3T2C</t>
  </si>
  <si>
    <t>OM3T2_2</t>
  </si>
  <si>
    <t>MRIT2Coronal_c</t>
  </si>
  <si>
    <t>mri_t2_coronal_c</t>
  </si>
  <si>
    <t>LM3T2C_code</t>
  </si>
  <si>
    <t>MRIT2Sagittal</t>
  </si>
  <si>
    <t>T2 sagittal</t>
  </si>
  <si>
    <t>mri_t2_sagittal</t>
  </si>
  <si>
    <t>LM3T2S</t>
  </si>
  <si>
    <t>OM3T2_3</t>
  </si>
  <si>
    <t>MRIT2Sagittal_c</t>
  </si>
  <si>
    <t>mri_t2_sagittal_c</t>
  </si>
  <si>
    <t>LM3T2S_code</t>
  </si>
  <si>
    <t>MRIT2</t>
  </si>
  <si>
    <t>T2 -</t>
  </si>
  <si>
    <t>mri_t2</t>
  </si>
  <si>
    <t>OM3T2_</t>
  </si>
  <si>
    <t>MRIT2FLAIRAxial</t>
  </si>
  <si>
    <t>T2 FLAIR - axial</t>
  </si>
  <si>
    <t>mri_t2_flair_axial</t>
  </si>
  <si>
    <t>LM3T2FLRA</t>
  </si>
  <si>
    <t>OM3T2FL_1</t>
  </si>
  <si>
    <t>MRIT2FLAIRAxial_c</t>
  </si>
  <si>
    <t>mri_t2_flair_axial_c</t>
  </si>
  <si>
    <t>LM3T2FLRA_code</t>
  </si>
  <si>
    <t>MRIT2FLAIRCoronal</t>
  </si>
  <si>
    <t>T2 FLAIR - coronal</t>
  </si>
  <si>
    <t>mri_t2_flair_coronal</t>
  </si>
  <si>
    <t>LM3T2FLRC</t>
  </si>
  <si>
    <t>OM3T2FL_2</t>
  </si>
  <si>
    <t>MRIT2FLAIRCoronal_c</t>
  </si>
  <si>
    <t>mri_t2_flair_coronal_c</t>
  </si>
  <si>
    <t>LM3T2FLRC_code</t>
  </si>
  <si>
    <t>MRIT2FLAIRSagittal</t>
  </si>
  <si>
    <t>T2 FLAIR - sagittal</t>
  </si>
  <si>
    <t>mri_t2_flair_sagittal</t>
  </si>
  <si>
    <t>LM3T2FLRS</t>
  </si>
  <si>
    <t>OM3T2FL_3</t>
  </si>
  <si>
    <t>MRIT2FLAIRSagittal_c</t>
  </si>
  <si>
    <t>mri_t2_flair_sagittal_c</t>
  </si>
  <si>
    <t>LM3T2FLRS_code</t>
  </si>
  <si>
    <t>MRIT2FLAIR</t>
  </si>
  <si>
    <t xml:space="preserve">T2 FLAIR - </t>
  </si>
  <si>
    <t>mri_t2_flair</t>
  </si>
  <si>
    <t>OM3T2FL_</t>
  </si>
  <si>
    <t>MRIGRESWIAxial</t>
  </si>
  <si>
    <t>GRE/SWI - axial</t>
  </si>
  <si>
    <t>mri_greswi_axial</t>
  </si>
  <si>
    <t>LM3GREA</t>
  </si>
  <si>
    <t>OM3GRESW_1</t>
  </si>
  <si>
    <t>MRIGRESWIAxial_c</t>
  </si>
  <si>
    <t>mri_greswi_axial_c</t>
  </si>
  <si>
    <t>LM3GREA_code</t>
  </si>
  <si>
    <t>MRIGRESWICoronal</t>
  </si>
  <si>
    <t>GRE/SWI - coronal</t>
  </si>
  <si>
    <t>mri_greswi_coronal</t>
  </si>
  <si>
    <t>LM3GREC</t>
  </si>
  <si>
    <t>OM3GRESW_2</t>
  </si>
  <si>
    <t>MRIGRESWICoronal_c</t>
  </si>
  <si>
    <t>mri_greswi_coronal_c</t>
  </si>
  <si>
    <t>LM3GREC_code</t>
  </si>
  <si>
    <t>MRIGRESWISagittal</t>
  </si>
  <si>
    <t>GRE/SWI - sagittal</t>
  </si>
  <si>
    <t>mri_greswi_sagittal</t>
  </si>
  <si>
    <t>LM3GRES</t>
  </si>
  <si>
    <t>OM3GRESW_3</t>
  </si>
  <si>
    <t>MRIGRESWISagittal_c</t>
  </si>
  <si>
    <t>mri_greswi_sagittal_c</t>
  </si>
  <si>
    <t>LM3GRES_code</t>
  </si>
  <si>
    <t>MRIGRESWI</t>
  </si>
  <si>
    <t>GRE/SWI -</t>
  </si>
  <si>
    <t>mri_greswi</t>
  </si>
  <si>
    <t>OM3GRESW_</t>
  </si>
  <si>
    <t>MRISPGRAxial</t>
  </si>
  <si>
    <t>SPGR - axial</t>
  </si>
  <si>
    <t>mri_spgr_axial</t>
  </si>
  <si>
    <t>LM3SPGRA</t>
  </si>
  <si>
    <t>OM3SPGR_1</t>
  </si>
  <si>
    <t>MRISPGRAxial_c</t>
  </si>
  <si>
    <t>mri_spgr_axial_c</t>
  </si>
  <si>
    <t>LM3SPGRA_code</t>
  </si>
  <si>
    <t>MRISPGRCoronal</t>
  </si>
  <si>
    <t>SPGR - coronal</t>
  </si>
  <si>
    <t>mri_spgr_coronal</t>
  </si>
  <si>
    <t>LM3SPGRC</t>
  </si>
  <si>
    <t>OM3SPGR_2</t>
  </si>
  <si>
    <t>MRISPGRCoronal_c</t>
  </si>
  <si>
    <t>mri_spgr_coronal_c</t>
  </si>
  <si>
    <t>LM3SPGRC_code</t>
  </si>
  <si>
    <t>MRISPGRSagittal</t>
  </si>
  <si>
    <t>SPGR - sagittal</t>
  </si>
  <si>
    <t>mri_spgr_sagittal</t>
  </si>
  <si>
    <t>LM3SPGRS</t>
  </si>
  <si>
    <t>OM3SPGR_3</t>
  </si>
  <si>
    <t>MRISPGRSagittal_c</t>
  </si>
  <si>
    <t>mri_spgr_sagittal_c</t>
  </si>
  <si>
    <t>LM3SPGRS_code</t>
  </si>
  <si>
    <t>MRISPGR</t>
  </si>
  <si>
    <t>SPGR -</t>
  </si>
  <si>
    <t>mri_spgr</t>
  </si>
  <si>
    <t>OM3SPGR_</t>
  </si>
  <si>
    <t>MRIDWI</t>
  </si>
  <si>
    <t>DWI</t>
  </si>
  <si>
    <t>mri_dwi</t>
  </si>
  <si>
    <t>LM3DWI</t>
  </si>
  <si>
    <t>OM3DWI</t>
  </si>
  <si>
    <t>MRIDWI_c</t>
  </si>
  <si>
    <t>mri_dwi_c</t>
  </si>
  <si>
    <t>LM3DWI_code</t>
  </si>
  <si>
    <t>OM3DWI_code</t>
  </si>
  <si>
    <t>MRIADC</t>
  </si>
  <si>
    <t>ADC</t>
  </si>
  <si>
    <t>mri_adc</t>
  </si>
  <si>
    <t>LM3ADC</t>
  </si>
  <si>
    <t>OM3ADC</t>
  </si>
  <si>
    <t>MRIADC_c</t>
  </si>
  <si>
    <t>mri_adc_c</t>
  </si>
  <si>
    <t>LM3ADC_code</t>
  </si>
  <si>
    <t>OM3ADC_code</t>
  </si>
  <si>
    <t>MRIMRS</t>
  </si>
  <si>
    <t>MRS</t>
  </si>
  <si>
    <t>mri_mrs</t>
  </si>
  <si>
    <t>OM3MRS</t>
  </si>
  <si>
    <t>MRIMRS_c</t>
  </si>
  <si>
    <t>mri_mrs_c</t>
  </si>
  <si>
    <t>OM3MRS_code</t>
  </si>
  <si>
    <t>MRIOther</t>
  </si>
  <si>
    <t>mri_other</t>
  </si>
  <si>
    <t>LM3OTH</t>
  </si>
  <si>
    <t>OM3OTHR</t>
  </si>
  <si>
    <t>MRIOther_c</t>
  </si>
  <si>
    <t>mri_other_c</t>
  </si>
  <si>
    <t>LM3OTH_code</t>
  </si>
  <si>
    <t>OM3OTHR_code</t>
  </si>
  <si>
    <t>MRIOtherText</t>
  </si>
  <si>
    <t>other - specify</t>
  </si>
  <si>
    <t>mri_other_text</t>
  </si>
  <si>
    <t>LM3OTHS</t>
  </si>
  <si>
    <t>OM3OTHS</t>
  </si>
  <si>
    <t>MRIOverallDiagnosis</t>
  </si>
  <si>
    <t>overall diagnosis</t>
  </si>
  <si>
    <t>mri_overall_diagnosis</t>
  </si>
  <si>
    <t>LM3OVERD</t>
  </si>
  <si>
    <t>OM3OVERD</t>
  </si>
  <si>
    <t>MRIOverallDiagnosis_c</t>
  </si>
  <si>
    <t>mri_overall_diagnosis_c</t>
  </si>
  <si>
    <t>LM3OVERD_code</t>
  </si>
  <si>
    <t>OM3OVERD_code</t>
  </si>
  <si>
    <t>MRIOverallDiagnosisText</t>
  </si>
  <si>
    <t>overall diagnosis - normal with other findings (comments)</t>
  </si>
  <si>
    <t>mri_overall_diagnosis_text</t>
  </si>
  <si>
    <t>LM3OVERDC</t>
  </si>
  <si>
    <t>Intraparenchymal hemorrhage?</t>
  </si>
  <si>
    <t>MRIAbnormal</t>
  </si>
  <si>
    <t>signal abnormal</t>
  </si>
  <si>
    <t>mri_abnormal</t>
  </si>
  <si>
    <t>LM3SABNM</t>
  </si>
  <si>
    <t>OM3SIGABN</t>
  </si>
  <si>
    <t>MRIAbnormal_c</t>
  </si>
  <si>
    <t>mri_abnormal_c</t>
  </si>
  <si>
    <t>LM3SABNM_code</t>
  </si>
  <si>
    <t>OM3SIGABN_code</t>
  </si>
  <si>
    <t>MRILesionNumber</t>
  </si>
  <si>
    <t>abnormal - lesion number</t>
  </si>
  <si>
    <t>mri_lesion_number</t>
  </si>
  <si>
    <t>LH: in lhmr03_b.csv</t>
  </si>
  <si>
    <t>LM3LSNM</t>
  </si>
  <si>
    <t>OM3LESNM</t>
  </si>
  <si>
    <t>MRILesionHemisphere</t>
  </si>
  <si>
    <t>abnormal - lesion hemisphere</t>
  </si>
  <si>
    <t>mri_lesion_hemisphere</t>
  </si>
  <si>
    <t>LM3HEMI</t>
  </si>
  <si>
    <t>OM3LESHS</t>
  </si>
  <si>
    <t>MRILesionHemisphere_c</t>
  </si>
  <si>
    <t>mri_lesion_hemisphere_c</t>
  </si>
  <si>
    <t>LM3HEMI_code</t>
  </si>
  <si>
    <t>OM3LESHS_code</t>
  </si>
  <si>
    <t>MRIAbnormalRegion1</t>
  </si>
  <si>
    <t>MRIAbnormalRegion</t>
  </si>
  <si>
    <t>abnormal - region - 1</t>
  </si>
  <si>
    <t>mri_abnormal_region1</t>
  </si>
  <si>
    <t>LM3REG1</t>
  </si>
  <si>
    <t>OM3LESRG</t>
  </si>
  <si>
    <t>MRIAbnormalRegion1_c</t>
  </si>
  <si>
    <t>mri_abnormal_region1c</t>
  </si>
  <si>
    <t>LM3REG1_code</t>
  </si>
  <si>
    <t>OM3LESRG_code</t>
  </si>
  <si>
    <t>MRIAbnormalRegion2</t>
  </si>
  <si>
    <t>abnormal - region - 2</t>
  </si>
  <si>
    <t>mri_abnormal_region2</t>
  </si>
  <si>
    <t>LM3REG2</t>
  </si>
  <si>
    <t>MRIAbnormalRegion2_c</t>
  </si>
  <si>
    <t>mri_abnormal_region2c</t>
  </si>
  <si>
    <t>LM3REG2_code</t>
  </si>
  <si>
    <t>MRIAbnormalRegion3</t>
  </si>
  <si>
    <t>abnormal - region - 3</t>
  </si>
  <si>
    <t>mri_abnormal_region3</t>
  </si>
  <si>
    <t>LM3REG3</t>
  </si>
  <si>
    <t>MRIAbnormalRegion3_c</t>
  </si>
  <si>
    <t>mri_abnormal_region3c</t>
  </si>
  <si>
    <t>LM3REG3_code</t>
  </si>
  <si>
    <t>MRIAbnormalSide</t>
  </si>
  <si>
    <t>mri_abnormal_side</t>
  </si>
  <si>
    <t>LM3SIDE</t>
  </si>
  <si>
    <t>OM3LESSD</t>
  </si>
  <si>
    <t>MRIAbnormalSide_c</t>
  </si>
  <si>
    <t>mri_abnormal_side_c</t>
  </si>
  <si>
    <t>LM3SIDE_code</t>
  </si>
  <si>
    <t>OM3LESSD_code</t>
  </si>
  <si>
    <t>MRIAbnormalGrayMatterWhiteMatter</t>
  </si>
  <si>
    <t>MRIAbnormalGMWM</t>
  </si>
  <si>
    <t>abnormal - gray matter / white matter</t>
  </si>
  <si>
    <t>mri_abnormal_gray_matter_white_matter</t>
  </si>
  <si>
    <t>LM3GMWM</t>
  </si>
  <si>
    <t>OM3LESGM</t>
  </si>
  <si>
    <t>MRIAbnormalGrayMatterWhiteMatter_c</t>
  </si>
  <si>
    <t>mri_abnormal_gray_matter_white_matter_c</t>
  </si>
  <si>
    <t>LM3GMWM_code</t>
  </si>
  <si>
    <t>OM3LESGM_code</t>
  </si>
  <si>
    <t>MRIAbnormalExtent1</t>
  </si>
  <si>
    <t>MRIAbnormalExtent</t>
  </si>
  <si>
    <t>abnormal - extent</t>
  </si>
  <si>
    <t>mri_abnormal_extent1</t>
  </si>
  <si>
    <t>LM3EXT1</t>
  </si>
  <si>
    <t>OM3LESEX</t>
  </si>
  <si>
    <t>MRIAbnormalExtent1_c</t>
  </si>
  <si>
    <t>mri_abnormal_extent1c</t>
  </si>
  <si>
    <t>LM3EXT1_code</t>
  </si>
  <si>
    <t>OM3LESEX_code</t>
  </si>
  <si>
    <t>MRIAbnormalExtent2</t>
  </si>
  <si>
    <t>mri_abnormal_extent2</t>
  </si>
  <si>
    <t>LM3EXT2</t>
  </si>
  <si>
    <t>MRIAbnormalExtent2_c</t>
  </si>
  <si>
    <t>mri_abnormal_extent2c</t>
  </si>
  <si>
    <t>LM3EXT2_code</t>
  </si>
  <si>
    <t>MRIAbnormalType</t>
  </si>
  <si>
    <t>abnormal - type</t>
  </si>
  <si>
    <t>mri_abnormal_type</t>
  </si>
  <si>
    <t>LM3TYPE</t>
  </si>
  <si>
    <t>OM3LESTY</t>
  </si>
  <si>
    <t>MRIAbnormalType_c</t>
  </si>
  <si>
    <t>mri_abnormal_type_c</t>
  </si>
  <si>
    <t>LM3TYPE_code</t>
  </si>
  <si>
    <t>OM3LESTY_code</t>
  </si>
  <si>
    <t>MRIAbnormalType2</t>
  </si>
  <si>
    <t>mri_abnormal_type2</t>
  </si>
  <si>
    <t>LM3TYPE2</t>
  </si>
  <si>
    <t>MRIAbnormalType2_c</t>
  </si>
  <si>
    <t>mri_abnormal_type2c</t>
  </si>
  <si>
    <t>LM3TYPE2_code</t>
  </si>
  <si>
    <t>MRIAbnormalComment</t>
  </si>
  <si>
    <t>abnormal - comments</t>
  </si>
  <si>
    <t>mri_abnormal_comment</t>
  </si>
  <si>
    <t>LM3COMM</t>
  </si>
  <si>
    <t>OM3LESCM</t>
  </si>
  <si>
    <t>MRICerebralAtrophy</t>
  </si>
  <si>
    <t>cerebral atrophy</t>
  </si>
  <si>
    <t>mri_cerebral_atrophy</t>
  </si>
  <si>
    <t>LM3ATROP</t>
  </si>
  <si>
    <t>OM3CERAT</t>
  </si>
  <si>
    <t>MRICerebralAtrophy_c</t>
  </si>
  <si>
    <t>mri_cerebral_atrophy_c</t>
  </si>
  <si>
    <t>LM3ATROP_code</t>
  </si>
  <si>
    <t>OM3CERAT_code</t>
  </si>
  <si>
    <t>MRICerebralAtrophyGlobalLocal</t>
  </si>
  <si>
    <t>mri_cerebral_atrophy_global_local</t>
  </si>
  <si>
    <t>OM3CERATGL</t>
  </si>
  <si>
    <t>MRICerebralAtrophyGlobalLocal_c</t>
  </si>
  <si>
    <t>mri_cerebral_atrophy_global_local_c</t>
  </si>
  <si>
    <t>OM3CERATGL_code</t>
  </si>
  <si>
    <t>MRICerebralAtrophyRegion</t>
  </si>
  <si>
    <t>mri_cerebral_atrophy_region</t>
  </si>
  <si>
    <t>LM3ATROPR</t>
  </si>
  <si>
    <t>OM3CERRG</t>
  </si>
  <si>
    <t>MRICerebralAtrophyQualAssessCC</t>
  </si>
  <si>
    <t>MRISeverity</t>
  </si>
  <si>
    <t>cerebral atrophy - qualitative assessment of CC (corpus callosum) thining</t>
  </si>
  <si>
    <t>mri_cerebral_atrophy_qual_assess_cc</t>
  </si>
  <si>
    <t>LM3QASSCC</t>
  </si>
  <si>
    <t>OM3QACCT</t>
  </si>
  <si>
    <t>MRICerebralAtrophyQualAssessCC_c</t>
  </si>
  <si>
    <t>mri_cerebral_atrophy_qual_assess_cc_c</t>
  </si>
  <si>
    <t>LM3QASSCC_code</t>
  </si>
  <si>
    <t>OM3QACCT_code</t>
  </si>
  <si>
    <t>MRICerebralAtrophyQualAssessVDLeft</t>
  </si>
  <si>
    <t>cerebral atrophy - qualitative assessment of VD (ventricular dilation) - left</t>
  </si>
  <si>
    <t>mri_cerebral_atrophy_qual_assess_vd_left</t>
  </si>
  <si>
    <t>LM3QASSVDL</t>
  </si>
  <si>
    <t>OM3QAVDL</t>
  </si>
  <si>
    <t>MRICerebralAtrophyQualAssessVDLeft_c</t>
  </si>
  <si>
    <t>mri_cerebral_atrophy_qual_assess_vd_left_c</t>
  </si>
  <si>
    <t>LM3QASSVDL_code</t>
  </si>
  <si>
    <t>OM3QAVDL_code</t>
  </si>
  <si>
    <t>MRICerebralAtrophyQualAssessVDRight</t>
  </si>
  <si>
    <t>cerebral atrophy - qualitative assessment of VD (ventricular dilation) - right</t>
  </si>
  <si>
    <t>mri_cerebral_atrophy_qual_assess_vd_right</t>
  </si>
  <si>
    <t>LM3QASSVDR</t>
  </si>
  <si>
    <t>OM3QAVDR</t>
  </si>
  <si>
    <t>MRICerebralAtrophyQualAssessVDRight_c</t>
  </si>
  <si>
    <t>mri_cerebral_atrophy_qual_assess_vd_right_c</t>
  </si>
  <si>
    <t>LM3QASSVDR_code</t>
  </si>
  <si>
    <t>OM3QAVDR_code</t>
  </si>
  <si>
    <t>MRIInfarction</t>
  </si>
  <si>
    <t>infarction</t>
  </si>
  <si>
    <t>mri_infarction</t>
  </si>
  <si>
    <t>LM3INFAR</t>
  </si>
  <si>
    <t>OM3INFAR</t>
  </si>
  <si>
    <t>MRIInfarction_c</t>
  </si>
  <si>
    <t>mri_infarction_c</t>
  </si>
  <si>
    <t>LM3INFAR_code</t>
  </si>
  <si>
    <t>OM3INFAR_code</t>
  </si>
  <si>
    <t>MRIInfarctionArterialTerritoryLeft</t>
  </si>
  <si>
    <t>cerebral infarction - arterial territory - left</t>
  </si>
  <si>
    <t>mri_infarction_arterial_territory_left</t>
  </si>
  <si>
    <t>LM3INFARL</t>
  </si>
  <si>
    <t>OM3INFCAT_1</t>
  </si>
  <si>
    <t>MRIInfarctionArterialTerritoryLeft_c</t>
  </si>
  <si>
    <t>mri_infarction_arterial_territory_left_c</t>
  </si>
  <si>
    <t>LM3INFARL_code</t>
  </si>
  <si>
    <t>MRIInfarctionArterialTerritoryRight</t>
  </si>
  <si>
    <t>cerebral infarction - arterial territory - right</t>
  </si>
  <si>
    <t>mri_infarction_arterial_territory_right</t>
  </si>
  <si>
    <t>LM3INFARR</t>
  </si>
  <si>
    <t>OM3INFCAT_2</t>
  </si>
  <si>
    <t>MRIInfarctionArterialTerritoryRight_c</t>
  </si>
  <si>
    <t>mri_infarction_arterial_territory_right_c</t>
  </si>
  <si>
    <t>LM3INFARR_code</t>
  </si>
  <si>
    <t>MRIInfarctionWatershedLeft</t>
  </si>
  <si>
    <t>cerebral infarction - watershed area - left</t>
  </si>
  <si>
    <t>mri_infarction_watershed_left</t>
  </si>
  <si>
    <t>LM3WSHEDL</t>
  </si>
  <si>
    <t>MRIInfarctionWatershedLeft_c</t>
  </si>
  <si>
    <t>mri_infarction_watershed_left_c</t>
  </si>
  <si>
    <t>LM3WSHEDL_code</t>
  </si>
  <si>
    <t>MRIInfarctionWatershedRight</t>
  </si>
  <si>
    <t>cerebral infarction - watershed area - right</t>
  </si>
  <si>
    <t>mri_infarction_watershed_right</t>
  </si>
  <si>
    <t>LM3WSHEDR</t>
  </si>
  <si>
    <t>MRIInfarctionWatershedRight_c</t>
  </si>
  <si>
    <t>mri_infarction_watershed_right_c</t>
  </si>
  <si>
    <t>LM3WSHEDR_code</t>
  </si>
  <si>
    <t>MRIMidlineShift</t>
  </si>
  <si>
    <t>midline shift</t>
  </si>
  <si>
    <t>mri_midline_shift</t>
  </si>
  <si>
    <t>LM3MSHIFT</t>
  </si>
  <si>
    <t>OM3MIDSH</t>
  </si>
  <si>
    <t>MRIMidlineShift_c</t>
  </si>
  <si>
    <t>mri_midline_shift_c</t>
  </si>
  <si>
    <t>LM3MSHIFT_code</t>
  </si>
  <si>
    <t>OM3MIDSH_code</t>
  </si>
  <si>
    <t>MRIBGT</t>
  </si>
  <si>
    <t>BGT (basal ganglia - thalamus) classification</t>
  </si>
  <si>
    <t>mri_bgt</t>
  </si>
  <si>
    <t>LM3BGTCL</t>
  </si>
  <si>
    <t>OM3BGT</t>
  </si>
  <si>
    <t>MRIBGT_c</t>
  </si>
  <si>
    <t>mri_bgt_c</t>
  </si>
  <si>
    <t>LM3BGTCL_code</t>
  </si>
  <si>
    <t>OM3BGT_code</t>
  </si>
  <si>
    <t>MRIPLIC</t>
  </si>
  <si>
    <t>MRIALICPLICSeverity</t>
  </si>
  <si>
    <t>PLIC (posterior limb of internal capsule) classification</t>
  </si>
  <si>
    <t>mri_plic</t>
  </si>
  <si>
    <t>LM3PLICCL</t>
  </si>
  <si>
    <t>OM3PLIC</t>
  </si>
  <si>
    <t>MRIPLIC_c</t>
  </si>
  <si>
    <t>mri_plic_c</t>
  </si>
  <si>
    <t>LM3PLICCL_code</t>
  </si>
  <si>
    <t>OM3PLIC_code</t>
  </si>
  <si>
    <t>MRIALIC</t>
  </si>
  <si>
    <t>ALIC (anterior limb of internal capsule) classification</t>
  </si>
  <si>
    <t>mri_alic</t>
  </si>
  <si>
    <t>LM3ALICCL</t>
  </si>
  <si>
    <t>MRIALIC_c</t>
  </si>
  <si>
    <t>mri_alic_c</t>
  </si>
  <si>
    <t>LM3ALICCL_code</t>
  </si>
  <si>
    <t>MRIWatershed</t>
  </si>
  <si>
    <t>watershed area (between vascular zones)</t>
  </si>
  <si>
    <t>mri_watershed</t>
  </si>
  <si>
    <t>LM3WSHEDA</t>
  </si>
  <si>
    <t>OM3WATER</t>
  </si>
  <si>
    <t>MRIWatershed_c</t>
  </si>
  <si>
    <t>mri_watershed_c</t>
  </si>
  <si>
    <t>LM3WSHEDA_code</t>
  </si>
  <si>
    <t>OM3WATER_code</t>
  </si>
  <si>
    <t>MRIWhiteMatterInjury</t>
  </si>
  <si>
    <t>MRIInjurySeverity</t>
  </si>
  <si>
    <t>white matter injury</t>
  </si>
  <si>
    <t>mri_white_matter_injury</t>
  </si>
  <si>
    <t>LM3WMINJ</t>
  </si>
  <si>
    <t>OM3WMI</t>
  </si>
  <si>
    <t>MRIWhiteMatterInjury_c</t>
  </si>
  <si>
    <t>mri_white_matter_injury_c</t>
  </si>
  <si>
    <t>LM3WMINJ_code</t>
  </si>
  <si>
    <t>OM3WMI_code</t>
  </si>
  <si>
    <t>MRIFocalCorticalInjury</t>
  </si>
  <si>
    <t>focal cortical injury</t>
  </si>
  <si>
    <t>mri_focal_cortical_injury</t>
  </si>
  <si>
    <t>LM3FCINJ</t>
  </si>
  <si>
    <t>MRIFocalCorticalInjury_c</t>
  </si>
  <si>
    <t>mri_focal_cortical_injury_c</t>
  </si>
  <si>
    <t>LM3FCINJ_code</t>
  </si>
  <si>
    <t>NICHD NRN Pattern of injury</t>
  </si>
  <si>
    <t>mri_nrn_pattern_of_injury</t>
  </si>
  <si>
    <t>LM3PTINJ</t>
  </si>
  <si>
    <t>OM3PATINJ</t>
  </si>
  <si>
    <t>MRINRNPatternOfInjury_c</t>
  </si>
  <si>
    <t>mri_nrn_pattern_of_injury_c</t>
  </si>
  <si>
    <t>LM3PTINJ_code</t>
  </si>
  <si>
    <t>OM3PATINJ_code</t>
  </si>
  <si>
    <t>MRINRNPatternOfInjuryExtent</t>
  </si>
  <si>
    <t>NICHD NRN Pattern of injury - extent</t>
  </si>
  <si>
    <t>mri_nrn_pattern_of_injury_extent</t>
  </si>
  <si>
    <t>OM3EXTENT</t>
  </si>
  <si>
    <t>MRINRNPatternOfInjuryExtent_c</t>
  </si>
  <si>
    <t>mri_nrn_pattern_of_injury_extent_c</t>
  </si>
  <si>
    <t>OM3EXTENT_code</t>
  </si>
  <si>
    <t>MRINRNPatternOfInjuryLateral</t>
  </si>
  <si>
    <t>NICHD NRN Pattern of injury - lateral</t>
  </si>
  <si>
    <t>mri_nrn_pattern_of_injury_lateral</t>
  </si>
  <si>
    <t>OM3LATR</t>
  </si>
  <si>
    <t>MRINRNPatternOfInjuryLateral_c</t>
  </si>
  <si>
    <t>mri_nrn_pattern_of_injury_lateral_c</t>
  </si>
  <si>
    <t>OM3LATR_code</t>
  </si>
  <si>
    <t>MRIComment</t>
  </si>
  <si>
    <t>comments</t>
  </si>
  <si>
    <t>mri_comment</t>
  </si>
  <si>
    <t>LM3COMMS</t>
  </si>
  <si>
    <t>OM3COMM</t>
  </si>
  <si>
    <t>MRINRNPatternOfInjuryMerge</t>
  </si>
  <si>
    <t>mri_nrn_pattern_of_injury_merge</t>
  </si>
  <si>
    <t>MRINRNPatternOfInjuryAvg</t>
  </si>
  <si>
    <t>mri_nrn_pattern_of_injury_avg</t>
  </si>
  <si>
    <t>MRINRNPatternOfInjuryMax</t>
  </si>
  <si>
    <t>mri_nrn_pattern_of_injury_max</t>
  </si>
  <si>
    <t>MRI2LevelPatternOfInjury</t>
  </si>
  <si>
    <t>Two-level pattern of injury (0-1 vs 2-3)</t>
  </si>
  <si>
    <t>mri2level_pattern_of_injury</t>
  </si>
  <si>
    <t>MRI_PCLASS</t>
  </si>
  <si>
    <t>MRI_2cat</t>
  </si>
  <si>
    <t>MRIAge_day</t>
  </si>
  <si>
    <t>Age at MRI (fixed, days)</t>
  </si>
  <si>
    <t>mri_age_day</t>
  </si>
  <si>
    <t>MRI_AGED</t>
  </si>
  <si>
    <t>use_MRIage</t>
  </si>
  <si>
    <t>MRIOverallDiagnosisMerge</t>
  </si>
  <si>
    <t>Overall diagnosis (MRI)</t>
  </si>
  <si>
    <t>mri_overall_diagnosis_merge</t>
  </si>
  <si>
    <t>use_od</t>
  </si>
  <si>
    <t>NICHD NRN pattern of injury</t>
  </si>
  <si>
    <t>MRI_PATTERN</t>
  </si>
  <si>
    <t>use_pi</t>
  </si>
  <si>
    <t>MRI_DATE</t>
  </si>
  <si>
    <t>MRI_TIME</t>
  </si>
  <si>
    <t>MRINotDone</t>
  </si>
  <si>
    <t>mri_not_done</t>
  </si>
  <si>
    <t>MRI_NOTDONE</t>
  </si>
  <si>
    <t>MRIUnread</t>
  </si>
  <si>
    <t>mri_unread</t>
  </si>
  <si>
    <t>MRI_UNREAD</t>
  </si>
  <si>
    <t>MRIAnalysis</t>
  </si>
  <si>
    <t>Included in 298 infants for MRI analyses</t>
  </si>
  <si>
    <t>mri_analysis</t>
  </si>
  <si>
    <t>mri_subgrp</t>
  </si>
  <si>
    <t>MRIAbnormalResult</t>
  </si>
  <si>
    <t>Abnormal MRI result</t>
  </si>
  <si>
    <t>mri_abnormal_result</t>
  </si>
  <si>
    <t>mri_abn</t>
  </si>
  <si>
    <t>MRINRNPatternOfInjuryWSvsBGTPLIC</t>
  </si>
  <si>
    <t>MRINRNPatternOfInjuryWSvsBGT</t>
  </si>
  <si>
    <t>Pattern of injury: separating WS and BGT/PLIC</t>
  </si>
  <si>
    <t>mri_nrn_pattern_of_injury_w_svs_bgt_plic</t>
  </si>
  <si>
    <t>new_patt</t>
  </si>
  <si>
    <t>MRICerebralLesion</t>
  </si>
  <si>
    <t>Any cerebral lesions (lobes or other)</t>
  </si>
  <si>
    <t>mri_cerebral_lesion</t>
  </si>
  <si>
    <t>all_cere</t>
  </si>
  <si>
    <t>MRICerebellarLesion</t>
  </si>
  <si>
    <t>MRILesion</t>
  </si>
  <si>
    <t>Indicator for cerebellar lesions</t>
  </si>
  <si>
    <t>mri_cerebellar_lesion</t>
  </si>
  <si>
    <t>bel_max</t>
  </si>
  <si>
    <t>MRIBasalGangliaLesion</t>
  </si>
  <si>
    <t>Indicator for basal ganglia lesions</t>
  </si>
  <si>
    <t>mri_basal_ganglia_lesion</t>
  </si>
  <si>
    <t>bg_max</t>
  </si>
  <si>
    <t>MRIBrainstemLesion</t>
  </si>
  <si>
    <t>Indicator for brainstem lesions</t>
  </si>
  <si>
    <t>mri_brainstem_lesion</t>
  </si>
  <si>
    <t>bs_max</t>
  </si>
  <si>
    <t>MRICorpusCallosumLesion</t>
  </si>
  <si>
    <t>Indicator for corpus callosum lesions</t>
  </si>
  <si>
    <t>mri_corpus_callosum_lesion</t>
  </si>
  <si>
    <t>cc_max</t>
  </si>
  <si>
    <t>MRICerebralLesionLobe</t>
  </si>
  <si>
    <t>Cerebral lesions (lobes)</t>
  </si>
  <si>
    <t>mri_cerebral_lesion_lobe</t>
  </si>
  <si>
    <t>cereb_any</t>
  </si>
  <si>
    <t>MRICoronaRadiataLesion</t>
  </si>
  <si>
    <t>Indicator for corona radiata lesions</t>
  </si>
  <si>
    <t>mri_corona_radiata_lesion</t>
  </si>
  <si>
    <t>cr_max</t>
  </si>
  <si>
    <t>MRIEdema</t>
  </si>
  <si>
    <t>Indicator for any lesions noted as edema</t>
  </si>
  <si>
    <t>mri_edema</t>
  </si>
  <si>
    <t>edema</t>
  </si>
  <si>
    <t>MRIExtraAxialLesion</t>
  </si>
  <si>
    <t>Indicator for extra-axial lesions</t>
  </si>
  <si>
    <t>mri_extra_axial_lesion</t>
  </si>
  <si>
    <t>ex_max</t>
  </si>
  <si>
    <t>MRIExtent</t>
  </si>
  <si>
    <t>Extent (mild, moderate, extensive, h.devastation)</t>
  </si>
  <si>
    <t>mri_extent</t>
  </si>
  <si>
    <t>extent_num</t>
  </si>
  <si>
    <t>MRIFrontalParietalLesion</t>
  </si>
  <si>
    <t>Indicator for frontal-parietal lesions</t>
  </si>
  <si>
    <t>mri_frontal_parietal_lesion</t>
  </si>
  <si>
    <t>fp_max</t>
  </si>
  <si>
    <t>MRIFrontalLesion</t>
  </si>
  <si>
    <t>Indicator for frontal lesions</t>
  </si>
  <si>
    <t>mri_frontal_lesion</t>
  </si>
  <si>
    <t>frontal</t>
  </si>
  <si>
    <t>MRILateralHemisphericDevastation</t>
  </si>
  <si>
    <t>Laterality for hemispheric devastation</t>
  </si>
  <si>
    <t>mri_lateral_hemispheric_devastation</t>
  </si>
  <si>
    <t>hemi_lat</t>
  </si>
  <si>
    <t>MRIHippocampusLesion</t>
  </si>
  <si>
    <t>Indicator for hippocampus lesions</t>
  </si>
  <si>
    <t>mri_hippocampus_lesion</t>
  </si>
  <si>
    <t>hip_max</t>
  </si>
  <si>
    <t>MRIHypothalamusLesion</t>
  </si>
  <si>
    <t>Indicator for hypothalamus lesions</t>
  </si>
  <si>
    <t>mri_hypothalamus_lesion</t>
  </si>
  <si>
    <t>hy_max</t>
  </si>
  <si>
    <t>MRIInsularLesion</t>
  </si>
  <si>
    <t>Indicator for insular lesions</t>
  </si>
  <si>
    <t>mri_insular_lesion</t>
  </si>
  <si>
    <t>ins_max</t>
  </si>
  <si>
    <t>MRILateralityMerge</t>
  </si>
  <si>
    <t>Laterality</t>
  </si>
  <si>
    <t>mri_laterality_merge</t>
  </si>
  <si>
    <t>lateral_num</t>
  </si>
  <si>
    <t>MRIBGTMerge</t>
  </si>
  <si>
    <t>BGT classification</t>
  </si>
  <si>
    <t>mri_bgt_merge</t>
  </si>
  <si>
    <t>new_bgt</t>
  </si>
  <si>
    <t>MRIPLICMerge</t>
  </si>
  <si>
    <t>PLIC classification</t>
  </si>
  <si>
    <t>mri_plic_merge</t>
  </si>
  <si>
    <t>new_plic</t>
  </si>
  <si>
    <t>MRIWatershedMerge</t>
  </si>
  <si>
    <t>Watershed area classification</t>
  </si>
  <si>
    <t>mri_watershed_merge</t>
  </si>
  <si>
    <t>new_water</t>
  </si>
  <si>
    <t>MRIWhiteMatterInjuryMerge</t>
  </si>
  <si>
    <t>White matter injury classification</t>
  </si>
  <si>
    <t>mri_white_matter_injury_merge</t>
  </si>
  <si>
    <t>new_wmi</t>
  </si>
  <si>
    <t>MRIOccipitalLesion</t>
  </si>
  <si>
    <t>Indicator for occipital lesions</t>
  </si>
  <si>
    <t>mri_occipital_lesion</t>
  </si>
  <si>
    <t>occip</t>
  </si>
  <si>
    <t>MRIOpticChiasmLesion</t>
  </si>
  <si>
    <t>Indicator for optic chiasm lesions</t>
  </si>
  <si>
    <t>mri_optic_chiasm_lesion</t>
  </si>
  <si>
    <t>op_max</t>
  </si>
  <si>
    <t>MRIOtherLesion</t>
  </si>
  <si>
    <t>Indicator for other lesions</t>
  </si>
  <si>
    <t>mri_other_lesion</t>
  </si>
  <si>
    <t>oth_max</t>
  </si>
  <si>
    <t>MRIOtherCerebralLesion</t>
  </si>
  <si>
    <t>Other cerebral lesions</t>
  </si>
  <si>
    <t>mri_other_cerebral_lesion</t>
  </si>
  <si>
    <t>other_cere</t>
  </si>
  <si>
    <t>MRIParasagittalLesion</t>
  </si>
  <si>
    <t>Indicator for parasagittal lesions</t>
  </si>
  <si>
    <t>mri_parasagittal_lesion</t>
  </si>
  <si>
    <t>para_max</t>
  </si>
  <si>
    <t>MRIParietalLesion</t>
  </si>
  <si>
    <t>Indicator for parietal lesions</t>
  </si>
  <si>
    <t>mri_parietal_lesion</t>
  </si>
  <si>
    <t>pariet</t>
  </si>
  <si>
    <t>MRIPreirolandicLesion</t>
  </si>
  <si>
    <t>Indicator for perirolandic lesions</t>
  </si>
  <si>
    <t>mri_preirolandic_lesion</t>
  </si>
  <si>
    <t>per_max</t>
  </si>
  <si>
    <t>MRIPerisylvianLesion</t>
  </si>
  <si>
    <t>Indicator for perisylvian lesions</t>
  </si>
  <si>
    <t>mri_perisylvian_lesion</t>
  </si>
  <si>
    <t>peri_max</t>
  </si>
  <si>
    <t>MRIPituitaryLesion</t>
  </si>
  <si>
    <t>Indicator for pituitary lesions</t>
  </si>
  <si>
    <t>mri_pituitary_lesion</t>
  </si>
  <si>
    <t>pit_max</t>
  </si>
  <si>
    <t>MRIParietalOccipitalLesion</t>
  </si>
  <si>
    <t>Indicator for parietal-occipital lesions</t>
  </si>
  <si>
    <t>mri_parietal_occipital_lesion</t>
  </si>
  <si>
    <t>po_max</t>
  </si>
  <si>
    <t>MRIParietalTemporalLesion</t>
  </si>
  <si>
    <t>Indicator for parietal-temporal lesions</t>
  </si>
  <si>
    <t>mri_parietal_temporal_lesion</t>
  </si>
  <si>
    <t>pt_max</t>
  </si>
  <si>
    <t>MRIScalpLesion</t>
  </si>
  <si>
    <t>Indicator for scalp lesions</t>
  </si>
  <si>
    <t>mri_scalp_lesion</t>
  </si>
  <si>
    <t>s_max</t>
  </si>
  <si>
    <t>MRIThalamusLesion</t>
  </si>
  <si>
    <t>Indicator for thalamus lesions</t>
  </si>
  <si>
    <t>mri_thalamus_lesion</t>
  </si>
  <si>
    <t>t_max</t>
  </si>
  <si>
    <t>MRITemporalLesion</t>
  </si>
  <si>
    <t>Indicator for temporal lesions</t>
  </si>
  <si>
    <t>mri_temporal_lesion</t>
  </si>
  <si>
    <t>tempo</t>
  </si>
  <si>
    <t>MRITemporalOccipitalLesion</t>
  </si>
  <si>
    <t>Indicator for temporal-occipital lesion</t>
  </si>
  <si>
    <t>mri_temporal_occipital_lesion</t>
  </si>
  <si>
    <t>to_max</t>
  </si>
  <si>
    <t>MRICerebralAtrophyMerge</t>
  </si>
  <si>
    <t>Cerebral atrophy</t>
  </si>
  <si>
    <t>mri_cerebral_atrophy_merge</t>
  </si>
  <si>
    <t>use_atrophy</t>
  </si>
  <si>
    <t>MRICerebralAtrophyQualAssessCCMerge</t>
  </si>
  <si>
    <t>Qualitative assessment of CC thinning</t>
  </si>
  <si>
    <t>mri_cerebral_atrophy_qual_assess_cc_merge</t>
  </si>
  <si>
    <t>use_ccthin</t>
  </si>
  <si>
    <t>MRICerebralAtrophyGlobalLocalMerge</t>
  </si>
  <si>
    <t>If cerebral atrophy: globalized(1) or local(2)</t>
  </si>
  <si>
    <t>mri_cerebral_atrophy_global_local_merge</t>
  </si>
  <si>
    <t>use_global</t>
  </si>
  <si>
    <t>MRIVascularTerritoryInfarctionMerge</t>
  </si>
  <si>
    <t>Vascular territory infarction</t>
  </si>
  <si>
    <t>mri_vascular_territory_infarction_merge</t>
  </si>
  <si>
    <t>use_infarc</t>
  </si>
  <si>
    <t>MRIVascularTerritoryInfarctionLeftMerge</t>
  </si>
  <si>
    <t>mri_vascular_territory_infarction_left_merge</t>
  </si>
  <si>
    <t>MRI_INFARL</t>
  </si>
  <si>
    <t>MRIVascularTerritoryInfarctionRightMerge</t>
  </si>
  <si>
    <t>mri_vascular_territory_infarction_right_merge</t>
  </si>
  <si>
    <t>MRI_INFARR</t>
  </si>
  <si>
    <t>MRIHemisphericDevastation</t>
  </si>
  <si>
    <t>Hemispheric devastation</t>
  </si>
  <si>
    <t>mri_hemispheric_devastation</t>
  </si>
  <si>
    <t>use_hemi</t>
  </si>
  <si>
    <t>MRIVentricularDilatation</t>
  </si>
  <si>
    <t>Ventricular dilatation</t>
  </si>
  <si>
    <t>mri_ventricular_dilatation</t>
  </si>
  <si>
    <t>use_vd</t>
  </si>
  <si>
    <t>MRIVascularLesion</t>
  </si>
  <si>
    <t>Indicator for vascular lesions</t>
  </si>
  <si>
    <t>mri_vascular_lesion</t>
  </si>
  <si>
    <t>vas_max</t>
  </si>
  <si>
    <t>MRIIntraventricularLesion</t>
  </si>
  <si>
    <t>Indicator for intraventricular lesions</t>
  </si>
  <si>
    <t>mri_intraventricular_lesion</t>
  </si>
  <si>
    <t>vent_max</t>
  </si>
  <si>
    <t>NICU Discharge</t>
  </si>
  <si>
    <t>Status</t>
  </si>
  <si>
    <t>experimentStatus</t>
  </si>
  <si>
    <t>status of the infant in the experiment</t>
  </si>
  <si>
    <t>experiment_status</t>
  </si>
  <si>
    <t>status</t>
  </si>
  <si>
    <t>status of the infant</t>
  </si>
  <si>
    <t>OC: from dischargeStatus</t>
  </si>
  <si>
    <t>LH12STAT</t>
  </si>
  <si>
    <t>statusDate</t>
  </si>
  <si>
    <t>date status</t>
  </si>
  <si>
    <t>status_date</t>
  </si>
  <si>
    <t>LH: from LH12DCDT, LH12TRDT, LH12DTDT</t>
  </si>
  <si>
    <t>OC13SDAT</t>
  </si>
  <si>
    <t>dischargeStatus</t>
  </si>
  <si>
    <t>state of the infant at discharge</t>
  </si>
  <si>
    <t>discharge_status</t>
  </si>
  <si>
    <t>LH13STAT</t>
  </si>
  <si>
    <t>OC13STAT</t>
  </si>
  <si>
    <t>dischargeDate</t>
  </si>
  <si>
    <t>date at discharge</t>
  </si>
  <si>
    <t>discharge_date</t>
  </si>
  <si>
    <t>LH12DCDT</t>
  </si>
  <si>
    <t>OC13DDAT</t>
  </si>
  <si>
    <t>dischargeWeight_g</t>
  </si>
  <si>
    <t>weight at discharge (gms)</t>
  </si>
  <si>
    <t>discharge_weight_g</t>
  </si>
  <si>
    <t>LH12DCWT</t>
  </si>
  <si>
    <t>OC13WGHT</t>
  </si>
  <si>
    <t>dischargeLength_cm</t>
  </si>
  <si>
    <t>lenght at discharge (cm)</t>
  </si>
  <si>
    <t>discharge_length_cm</t>
  </si>
  <si>
    <t>LH12DCLN</t>
  </si>
  <si>
    <t>OC13LGTH</t>
  </si>
  <si>
    <t>dischargeHeadCircumference_cm</t>
  </si>
  <si>
    <t>head circumference at discharge (cm)</t>
  </si>
  <si>
    <t>discharge_head_circumference_cm</t>
  </si>
  <si>
    <t>LH12DCHC</t>
  </si>
  <si>
    <t>OC13CIRC</t>
  </si>
  <si>
    <t>transferReason</t>
  </si>
  <si>
    <t>reason for transfer</t>
  </si>
  <si>
    <t>transfer_reason</t>
  </si>
  <si>
    <t>LH12TRRS</t>
  </si>
  <si>
    <t>OC13RTRS</t>
  </si>
  <si>
    <t>transferDate</t>
  </si>
  <si>
    <t>date at transfer</t>
  </si>
  <si>
    <t>transfer_date</t>
  </si>
  <si>
    <t>LH12TRDT</t>
  </si>
  <si>
    <t>transferWeight_g</t>
  </si>
  <si>
    <t>weight at transfer (gms)</t>
  </si>
  <si>
    <t>transfer_weight_g</t>
  </si>
  <si>
    <t>OC: computed from dischargeWeight_g</t>
  </si>
  <si>
    <t>LH12TRWT</t>
  </si>
  <si>
    <t>transferLength_cm</t>
  </si>
  <si>
    <t>lenght at transfer (cm)</t>
  </si>
  <si>
    <t>transfer_length_cm</t>
  </si>
  <si>
    <t>OC: computed from dischargeLength_cm</t>
  </si>
  <si>
    <t>LH12TRLN</t>
  </si>
  <si>
    <t>transferHeadCircumference_cm</t>
  </si>
  <si>
    <t>head circumference at transfer (cm)</t>
  </si>
  <si>
    <t>transfer_head_circumference_cm</t>
  </si>
  <si>
    <t>OC: computed from dischargeHeadCircumference_cm</t>
  </si>
  <si>
    <t>LH12TRHC</t>
  </si>
  <si>
    <t>transferOutcome</t>
  </si>
  <si>
    <t>outcome of transfer</t>
  </si>
  <si>
    <t>transfer_outcome</t>
  </si>
  <si>
    <t>LH12TROU</t>
  </si>
  <si>
    <t>OC13OUTC</t>
  </si>
  <si>
    <t>homeTherapyStatus</t>
  </si>
  <si>
    <t>home therapy information</t>
  </si>
  <si>
    <t>home_therapy_status</t>
  </si>
  <si>
    <t>OC: from Home Therapy</t>
  </si>
  <si>
    <t>LH12HTHE</t>
  </si>
  <si>
    <t>homeTherapyVentilator</t>
  </si>
  <si>
    <t>ventilator?</t>
  </si>
  <si>
    <t>home_therapy_ventilator</t>
  </si>
  <si>
    <t>LH12HTVN</t>
  </si>
  <si>
    <t>homeTherapyOxygen</t>
  </si>
  <si>
    <t>oxygen?</t>
  </si>
  <si>
    <t>home_therapy_oxygen</t>
  </si>
  <si>
    <t>LH12HTO2</t>
  </si>
  <si>
    <t>homeTherapyGavageTubeFeed</t>
  </si>
  <si>
    <t>gavage tube feeding?</t>
  </si>
  <si>
    <t>home_therapy_gavage_tube_feed</t>
  </si>
  <si>
    <t>LH12HTGV</t>
  </si>
  <si>
    <t>homeTherapyGastrostomyTubeFeed</t>
  </si>
  <si>
    <t>gastrostomy tube feeding?</t>
  </si>
  <si>
    <t>home_therapy_gastrostomy_tube_feed</t>
  </si>
  <si>
    <t>LH12HTGS</t>
  </si>
  <si>
    <t>homeTherapyTemperatureBlanket</t>
  </si>
  <si>
    <t>temperature blanket?</t>
  </si>
  <si>
    <t>home_therapy_temperature_blanket</t>
  </si>
  <si>
    <t>LH12HTTB</t>
  </si>
  <si>
    <t>homeTherapyAnticonvulsantMedication</t>
  </si>
  <si>
    <t>anticonvulsant medication?</t>
  </si>
  <si>
    <t>home_therapy_anticonvulsant_medication</t>
  </si>
  <si>
    <t>LH12HTAM</t>
  </si>
  <si>
    <t>homeTherapyOther</t>
  </si>
  <si>
    <t>home_therapy_other</t>
  </si>
  <si>
    <t>LH12HTOT</t>
  </si>
  <si>
    <t>homeTherapyOtherText</t>
  </si>
  <si>
    <t>home_therapy_other_text</t>
  </si>
  <si>
    <t>LH12HTOS</t>
  </si>
  <si>
    <t>deathDate</t>
  </si>
  <si>
    <t>date of death</t>
  </si>
  <si>
    <t>death_date</t>
  </si>
  <si>
    <t>LH12DTDT</t>
  </si>
  <si>
    <t>OC13DEDA</t>
  </si>
  <si>
    <t>deathTime</t>
  </si>
  <si>
    <t>time of death</t>
  </si>
  <si>
    <t>death_time</t>
  </si>
  <si>
    <t>LH12DTTM</t>
  </si>
  <si>
    <t>OC13DETM</t>
  </si>
  <si>
    <t>deathAge_day</t>
  </si>
  <si>
    <t>Age at death (days)</t>
  </si>
  <si>
    <t>death_age_day</t>
  </si>
  <si>
    <t>age_death</t>
  </si>
  <si>
    <t>deathAutopsy</t>
  </si>
  <si>
    <t>autopsy performed?</t>
  </si>
  <si>
    <t>death_autopsy</t>
  </si>
  <si>
    <t>LH12DTAU</t>
  </si>
  <si>
    <t>OC13DEAP</t>
  </si>
  <si>
    <t>deathCause</t>
  </si>
  <si>
    <t>cause of death</t>
  </si>
  <si>
    <t>death_cause</t>
  </si>
  <si>
    <t>LH12DTCA</t>
  </si>
  <si>
    <t>OC13COD</t>
  </si>
  <si>
    <t>deathCauseText</t>
  </si>
  <si>
    <t>cause of death specified</t>
  </si>
  <si>
    <t>death_cause_text</t>
  </si>
  <si>
    <t>LH12DTSP</t>
  </si>
  <si>
    <t>OC13CODS</t>
  </si>
  <si>
    <t>deathSrc</t>
  </si>
  <si>
    <t>source of information of death</t>
  </si>
  <si>
    <t>death_src</t>
  </si>
  <si>
    <t>LH12DTSR</t>
  </si>
  <si>
    <t>OC13SOI</t>
  </si>
  <si>
    <t>lengthOfStay_day</t>
  </si>
  <si>
    <t>Length of stay in the NICU (days)</t>
  </si>
  <si>
    <t>length_of_stay_day</t>
  </si>
  <si>
    <t>LH, OC: derived data</t>
  </si>
  <si>
    <t>dischargeCardiomegaly</t>
  </si>
  <si>
    <t>Cardiomegaly?</t>
  </si>
  <si>
    <t>discharge_cardiomegaly</t>
  </si>
  <si>
    <t>LH13CVMG</t>
  </si>
  <si>
    <t>OC13CARD</t>
  </si>
  <si>
    <t>dischargeCardiacFailure</t>
  </si>
  <si>
    <t>Cardiac failure?</t>
  </si>
  <si>
    <t>discharge_cardiac_failure</t>
  </si>
  <si>
    <t>LH13CVCF</t>
  </si>
  <si>
    <t>OC13CFAI</t>
  </si>
  <si>
    <t>dischargeCardiacDysfunctionByEcho</t>
  </si>
  <si>
    <t>Cardiac dysfunction (by echo)?</t>
  </si>
  <si>
    <t>discharge_cardiac_dysfunction_by_echo</t>
  </si>
  <si>
    <t>LH13CVCD</t>
  </si>
  <si>
    <t>OC13CDYS</t>
  </si>
  <si>
    <t>dischargeCardiacIschemiaByEKG</t>
  </si>
  <si>
    <t>Cardiac ischemia (by EKG and/or increase</t>
  </si>
  <si>
    <t>discharge_cardiac_ischemia_by_ekg</t>
  </si>
  <si>
    <t>LH13CVCI</t>
  </si>
  <si>
    <t>OC13CISC</t>
  </si>
  <si>
    <t>dischargeHypotension</t>
  </si>
  <si>
    <t>Hypotension?</t>
  </si>
  <si>
    <t>discharge_hypotension</t>
  </si>
  <si>
    <t>LH13CVHY</t>
  </si>
  <si>
    <t>OC13HYPO</t>
  </si>
  <si>
    <t>dischargeArrhythmia</t>
  </si>
  <si>
    <t>Arrhythmia?</t>
  </si>
  <si>
    <t>discharge_arrhythmia</t>
  </si>
  <si>
    <t>LH13CVAR</t>
  </si>
  <si>
    <t>OC13ARRH</t>
  </si>
  <si>
    <t>dischargeInotropicAgent</t>
  </si>
  <si>
    <t>Any inotropic agents during study</t>
  </si>
  <si>
    <t>discharge_inotropic_agent</t>
  </si>
  <si>
    <t>any_inot</t>
  </si>
  <si>
    <t>dischargeMeconiumAspirationSyndrome</t>
  </si>
  <si>
    <t>Meconium aspiration syndrome?</t>
  </si>
  <si>
    <t>discharge_meconium_aspiration_syndrome</t>
  </si>
  <si>
    <t>LH13PLMC</t>
  </si>
  <si>
    <t>OC13MASY</t>
  </si>
  <si>
    <t>dischargePPHN</t>
  </si>
  <si>
    <t>PPHN?</t>
  </si>
  <si>
    <t>discharge_pphn</t>
  </si>
  <si>
    <t>LH13PLPP</t>
  </si>
  <si>
    <t>OC13PPHN</t>
  </si>
  <si>
    <t>dischargePulmonaryHemorrhage</t>
  </si>
  <si>
    <t>Pulmonary hemorrhage?</t>
  </si>
  <si>
    <t>discharge_pulmonary_hemorrhage</t>
  </si>
  <si>
    <t>LH13PLPH</t>
  </si>
  <si>
    <t>OC13PHEM</t>
  </si>
  <si>
    <t>dischargePenumonia</t>
  </si>
  <si>
    <t>Pneumonia?</t>
  </si>
  <si>
    <t>discharge_penumonia</t>
  </si>
  <si>
    <t>LH13PLPN</t>
  </si>
  <si>
    <t>OC13PNEU</t>
  </si>
  <si>
    <t>dischargeChronicLungDisease</t>
  </si>
  <si>
    <t>Chronic lung disease?</t>
  </si>
  <si>
    <t>discharge_chronic_lung_disease</t>
  </si>
  <si>
    <t>LH13PLCL</t>
  </si>
  <si>
    <t>OC13CHLD</t>
  </si>
  <si>
    <t>dischargeECMO</t>
  </si>
  <si>
    <t>ECMO?</t>
  </si>
  <si>
    <t>discharge_ecmo</t>
  </si>
  <si>
    <t>LH13PECM</t>
  </si>
  <si>
    <t>OC13ECMO</t>
  </si>
  <si>
    <t>dischargeINO</t>
  </si>
  <si>
    <t>INO?</t>
  </si>
  <si>
    <t>discharge_ino</t>
  </si>
  <si>
    <t>LH13PLNO</t>
  </si>
  <si>
    <t>OC13INO</t>
  </si>
  <si>
    <t>dischargeVentilator_day</t>
  </si>
  <si>
    <t>Days on ventilator</t>
  </si>
  <si>
    <t>discharge_ventilator_day</t>
  </si>
  <si>
    <t>LH13PLVN</t>
  </si>
  <si>
    <t>OC13DVEN</t>
  </si>
  <si>
    <t>dischargeOxygen_day</t>
  </si>
  <si>
    <t>Days on oxygen</t>
  </si>
  <si>
    <t>discharge_oxygen_day</t>
  </si>
  <si>
    <t>LH13PL02</t>
  </si>
  <si>
    <t>OC13DOXY</t>
  </si>
  <si>
    <t>dischargeCPAP_day</t>
  </si>
  <si>
    <t>Days on CPAP</t>
  </si>
  <si>
    <t>discharge_cpap_day</t>
  </si>
  <si>
    <t>LH13PLCP</t>
  </si>
  <si>
    <t>OC13DCPA</t>
  </si>
  <si>
    <t>dischargePulmonaryStartDate1</t>
  </si>
  <si>
    <t>pulmonary start date - 1</t>
  </si>
  <si>
    <t>discharge_pulmonary_start_date1</t>
  </si>
  <si>
    <t>L13PIBD1</t>
  </si>
  <si>
    <t>dischargePulmonaryStartTime1</t>
  </si>
  <si>
    <t>pulmonary start time - 1</t>
  </si>
  <si>
    <t>discharge_pulmonary_start_time1</t>
  </si>
  <si>
    <t>L13PIBT1</t>
  </si>
  <si>
    <t>dischargePulmonaryEndDate1</t>
  </si>
  <si>
    <t>pulmonary end date - 1</t>
  </si>
  <si>
    <t>discharge_pulmonary_end_date1</t>
  </si>
  <si>
    <t>L13PIED1</t>
  </si>
  <si>
    <t>dischargePulmonaryEndTime1</t>
  </si>
  <si>
    <t>pulmonary end time - 1</t>
  </si>
  <si>
    <t>discharge_pulmonary_end_time1</t>
  </si>
  <si>
    <t>L13PIET1</t>
  </si>
  <si>
    <t>dischargePulmonaryStartDate2</t>
  </si>
  <si>
    <t>pulmonary start date - 2</t>
  </si>
  <si>
    <t>discharge_pulmonary_start_date2</t>
  </si>
  <si>
    <t>L13PIBD2</t>
  </si>
  <si>
    <t>dischargePulmonaryStartTime2</t>
  </si>
  <si>
    <t>pulmonary start time - 2</t>
  </si>
  <si>
    <t>discharge_pulmonary_start_time2</t>
  </si>
  <si>
    <t>L13PIBT2</t>
  </si>
  <si>
    <t>dischargePulmonaryEndDate2</t>
  </si>
  <si>
    <t>pulmonary end date - 2</t>
  </si>
  <si>
    <t>discharge_pulmonary_end_date2</t>
  </si>
  <si>
    <t>L13PIED2</t>
  </si>
  <si>
    <t>dischargePulmonaryEndTime2</t>
  </si>
  <si>
    <t>pulmonary end time - 2</t>
  </si>
  <si>
    <t>discharge_pulmonary_end_time2</t>
  </si>
  <si>
    <t>L13PIET2</t>
  </si>
  <si>
    <t>dischargePulmonaryStartDate3</t>
  </si>
  <si>
    <t>pulmonary start date - 3</t>
  </si>
  <si>
    <t>discharge_pulmonary_start_date3</t>
  </si>
  <si>
    <t>L13PIBD3</t>
  </si>
  <si>
    <t>dischargePulmonaryStartTime3</t>
  </si>
  <si>
    <t>pulmonary start time - 3</t>
  </si>
  <si>
    <t>discharge_pulmonary_start_time3</t>
  </si>
  <si>
    <t>L13PIBT3</t>
  </si>
  <si>
    <t>dischargePulmonaryEndDate3</t>
  </si>
  <si>
    <t>pulmonary end date - 3</t>
  </si>
  <si>
    <t>discharge_pulmonary_end_date3</t>
  </si>
  <si>
    <t>L13PIED3</t>
  </si>
  <si>
    <t>dischargePulmonaryEndTime3</t>
  </si>
  <si>
    <t>pulmonary end time - 3</t>
  </si>
  <si>
    <t>discharge_pulmonary_end_time3</t>
  </si>
  <si>
    <t>L13PIET3</t>
  </si>
  <si>
    <t>Hematology</t>
  </si>
  <si>
    <t>dischargeDIC</t>
  </si>
  <si>
    <t>DIC?</t>
  </si>
  <si>
    <t>discharge_dic</t>
  </si>
  <si>
    <t>LH13DIC</t>
  </si>
  <si>
    <t>OC13HDIC</t>
  </si>
  <si>
    <t>Metabolic</t>
  </si>
  <si>
    <t>dischargeHypoglycemia</t>
  </si>
  <si>
    <t>Hypoglycemia?</t>
  </si>
  <si>
    <t>discharge_hypoglycemia</t>
  </si>
  <si>
    <t>LH13HYGL</t>
  </si>
  <si>
    <t>OC13HYGL</t>
  </si>
  <si>
    <t>dischargeHypocalcemia</t>
  </si>
  <si>
    <t>Hypocalcemia?</t>
  </si>
  <si>
    <t>discharge_hypocalcemia</t>
  </si>
  <si>
    <t>LH13HYCA</t>
  </si>
  <si>
    <t>OC13HYCA</t>
  </si>
  <si>
    <t>dischargeHypomagnesemia</t>
  </si>
  <si>
    <t>Hypomagnesemia?</t>
  </si>
  <si>
    <t>discharge_hypomagnesemia</t>
  </si>
  <si>
    <t>LH13HYMG</t>
  </si>
  <si>
    <t>OC13HYPM</t>
  </si>
  <si>
    <t>Renal</t>
  </si>
  <si>
    <t>dischargeOliguria</t>
  </si>
  <si>
    <t>Oliguria?</t>
  </si>
  <si>
    <t>discharge_oliguria</t>
  </si>
  <si>
    <t>LH13RNOC</t>
  </si>
  <si>
    <t>OC13ROLI</t>
  </si>
  <si>
    <t>dischargeAnuria</t>
  </si>
  <si>
    <t>Anuria?</t>
  </si>
  <si>
    <t>discharge_anuria</t>
  </si>
  <si>
    <t>LH13RNAN</t>
  </si>
  <si>
    <t>OC13RANU</t>
  </si>
  <si>
    <t>dischargeDialysis</t>
  </si>
  <si>
    <t>Dialysis?</t>
  </si>
  <si>
    <t>discharge_dialysis</t>
  </si>
  <si>
    <t>LH13RNDI</t>
  </si>
  <si>
    <t>OC13RDIA</t>
  </si>
  <si>
    <t>Gastrointestinal</t>
  </si>
  <si>
    <t>dischargeEnteralFeedStart_day</t>
  </si>
  <si>
    <t>Day of life enteral feeds started</t>
  </si>
  <si>
    <t>discharge_enteral_feed_start_day</t>
  </si>
  <si>
    <t>OC13DEFS</t>
  </si>
  <si>
    <t>dischargeTubeFeedingDuration_day</t>
  </si>
  <si>
    <t>Duration of tube feeding (days)</t>
  </si>
  <si>
    <t>discharge_tube_feeding_duration_day</t>
  </si>
  <si>
    <t>LH13GSDR</t>
  </si>
  <si>
    <t>OC13DTFE</t>
  </si>
  <si>
    <t>dischargeFullNippleFeed</t>
  </si>
  <si>
    <t>Were full nipple feed achieved?</t>
  </si>
  <si>
    <t>discharge_full_nipple_feed</t>
  </si>
  <si>
    <t>OC13FLNP</t>
  </si>
  <si>
    <t>dischargeFullNippleFeed_day</t>
  </si>
  <si>
    <t>If Yes, Day of Life at full nipple feeds</t>
  </si>
  <si>
    <t>discharge_full_nipple_feed_day</t>
  </si>
  <si>
    <t>LH13GSAG</t>
  </si>
  <si>
    <t>OC13FNDL</t>
  </si>
  <si>
    <t>dischargeNEC</t>
  </si>
  <si>
    <t>NEC?</t>
  </si>
  <si>
    <t>discharge_nec</t>
  </si>
  <si>
    <t>LH13GSNE</t>
  </si>
  <si>
    <t>OC13NEC</t>
  </si>
  <si>
    <t>dischargeHepaticDysfunction</t>
  </si>
  <si>
    <t>Hepatic dysfunction?</t>
  </si>
  <si>
    <t>discharge_hepatic_dysfunction</t>
  </si>
  <si>
    <t>LH13GSHD</t>
  </si>
  <si>
    <t>OC13HPDY</t>
  </si>
  <si>
    <t>Skin</t>
  </si>
  <si>
    <t>dischargeAlteredSkinItegrityPostIntervention</t>
  </si>
  <si>
    <t>Was altered skin integrity documented after the Study Intervention Period?</t>
  </si>
  <si>
    <t>discharge_altered_skin_itegrity_post_intervention</t>
  </si>
  <si>
    <t>OC13ALIN</t>
  </si>
  <si>
    <t>dischargeErythema</t>
  </si>
  <si>
    <t>Erythema?</t>
  </si>
  <si>
    <t>discharge_erythema</t>
  </si>
  <si>
    <t>OC13ERYT</t>
  </si>
  <si>
    <t>dischargeErythemaOnsetDate</t>
  </si>
  <si>
    <t>Erythema: Date of Onset</t>
  </si>
  <si>
    <t>discharge_erythema_onset_date</t>
  </si>
  <si>
    <t>OC13EODA</t>
  </si>
  <si>
    <t>dischargeErythemaResolveDate</t>
  </si>
  <si>
    <t>Erythema: Date Resolved</t>
  </si>
  <si>
    <t>discharge_erythema_resolve_date</t>
  </si>
  <si>
    <t>OC13ERDA</t>
  </si>
  <si>
    <t>dischargeSclerema</t>
  </si>
  <si>
    <t>Sclerema?</t>
  </si>
  <si>
    <t>discharge_sclerema</t>
  </si>
  <si>
    <t>OC13SCLE</t>
  </si>
  <si>
    <t>dischargeScleremaOnsetDate</t>
  </si>
  <si>
    <t>Sclerema: Date of Onset</t>
  </si>
  <si>
    <t>discharge_sclerema_onset_date</t>
  </si>
  <si>
    <t>OC13SCOD</t>
  </si>
  <si>
    <t>dischargeScleremaResolveDate</t>
  </si>
  <si>
    <t>Sclerema: Date Resolved</t>
  </si>
  <si>
    <t>discharge_sclerema_resolve_date</t>
  </si>
  <si>
    <t>OC13SCRD</t>
  </si>
  <si>
    <t>dischargeCyanosis</t>
  </si>
  <si>
    <t>Cyanosis?</t>
  </si>
  <si>
    <t>discharge_cyanosis</t>
  </si>
  <si>
    <t>OC13CYAN</t>
  </si>
  <si>
    <t>dischargeCyanosisOnsetDate</t>
  </si>
  <si>
    <t>Cyanosis: Date of Onset</t>
  </si>
  <si>
    <t>discharge_cyanosis_onset_date</t>
  </si>
  <si>
    <t>OC13CODA</t>
  </si>
  <si>
    <t>dischargeCyanosisResolveDate</t>
  </si>
  <si>
    <t>Cyanosis: Date Resolved</t>
  </si>
  <si>
    <t>discharge_cyanosis_resolve_date</t>
  </si>
  <si>
    <t>OC13CRDA</t>
  </si>
  <si>
    <t>dischargeSubFatNecrosis</t>
  </si>
  <si>
    <t>Subcutaneous fat necrosis?</t>
  </si>
  <si>
    <t>discharge_sub_fat_necrosis</t>
  </si>
  <si>
    <t>OC13SUFN</t>
  </si>
  <si>
    <t>dischargeSubFatNecrosisOnsetDate</t>
  </si>
  <si>
    <t>Sub fat necrosis: Date of Onset</t>
  </si>
  <si>
    <t>discharge_sub_fat_necrosis_onset_date</t>
  </si>
  <si>
    <t>OC13SUOD</t>
  </si>
  <si>
    <t>dischargeSubFatNecrosisResolveDate</t>
  </si>
  <si>
    <t>Sub fat necrosis: Date Resolved</t>
  </si>
  <si>
    <t>discharge_sub_fat_necrosis_resolve_date</t>
  </si>
  <si>
    <t>OC13SURD</t>
  </si>
  <si>
    <t>Auditory</t>
  </si>
  <si>
    <t>dischargeHearingTest</t>
  </si>
  <si>
    <t>hearing test performed?</t>
  </si>
  <si>
    <t>discharge_hearing_test</t>
  </si>
  <si>
    <t>LH13HTES</t>
  </si>
  <si>
    <t>OC13HEAT</t>
  </si>
  <si>
    <t>dischargeHearingTestNormal</t>
  </si>
  <si>
    <t>was the result of final hearing test normal?</t>
  </si>
  <si>
    <t>discharge_hearing_test_normal</t>
  </si>
  <si>
    <t>LH13HTEN</t>
  </si>
  <si>
    <t>OC13HTRS</t>
  </si>
  <si>
    <t>Surgery</t>
  </si>
  <si>
    <t>dischargeMajorSurgery</t>
  </si>
  <si>
    <t>Did the patient have major surgery?</t>
  </si>
  <si>
    <t>discharge_major_surgery</t>
  </si>
  <si>
    <t>LH13MJSG</t>
  </si>
  <si>
    <t>OC13MJSU</t>
  </si>
  <si>
    <t>dischargeSurgeryCode1</t>
  </si>
  <si>
    <t>surgery</t>
  </si>
  <si>
    <t>Surgery Code 1</t>
  </si>
  <si>
    <t>discharge_surgery_code1</t>
  </si>
  <si>
    <t>LH13MJSA</t>
  </si>
  <si>
    <t>OC13SUC1</t>
  </si>
  <si>
    <t>dischargeSurgeryCode2</t>
  </si>
  <si>
    <t>Surgery Code 2</t>
  </si>
  <si>
    <t>discharge_surgery_code2</t>
  </si>
  <si>
    <t>LH13MJSB</t>
  </si>
  <si>
    <t>OC13SUC2</t>
  </si>
  <si>
    <t>dischargeSurgeryCode3</t>
  </si>
  <si>
    <t>Surgery Code 3</t>
  </si>
  <si>
    <t>discharge_surgery_code3</t>
  </si>
  <si>
    <t>LH13MJSC</t>
  </si>
  <si>
    <t>OC13SUC3</t>
  </si>
  <si>
    <t>dischargeSepticemia</t>
  </si>
  <si>
    <t>Did the patient have septicemia?</t>
  </si>
  <si>
    <t>discharge_septicemia</t>
  </si>
  <si>
    <t>LH13SEP</t>
  </si>
  <si>
    <t>OC13SEPT</t>
  </si>
  <si>
    <t>dischargeSepticemiaOrganismCode1</t>
  </si>
  <si>
    <t>Septicemia: Organism Code 1</t>
  </si>
  <si>
    <t>discharge_septicemia_organism_code1</t>
  </si>
  <si>
    <t>LH13SEPA</t>
  </si>
  <si>
    <t>OC13SOR1</t>
  </si>
  <si>
    <t>dischargeSepticemiaOrganismCode2</t>
  </si>
  <si>
    <t>Septicemia: Organism Code 2</t>
  </si>
  <si>
    <t>discharge_septicemia_organism_code2</t>
  </si>
  <si>
    <t>LH13SEPB</t>
  </si>
  <si>
    <t>OC13SOR2</t>
  </si>
  <si>
    <t>dischargeSepticemiaOrganismCode3</t>
  </si>
  <si>
    <t>Septicemia: Organism Code 3</t>
  </si>
  <si>
    <t>discharge_septicemia_organism_code3</t>
  </si>
  <si>
    <t>LH13SEPC</t>
  </si>
  <si>
    <t>OC13SOR3</t>
  </si>
  <si>
    <t>dischargeMeningitisEncephalitis</t>
  </si>
  <si>
    <t>Did the patient have meningitis/encephalitis?</t>
  </si>
  <si>
    <t>discharge_meningitis_encephalitis</t>
  </si>
  <si>
    <t>LH13MEN</t>
  </si>
  <si>
    <t>OC13ME</t>
  </si>
  <si>
    <t>dischargeMeningitisOrganismCode1</t>
  </si>
  <si>
    <t>Meningitis: Organism Code 1</t>
  </si>
  <si>
    <t>discharge_meningitis_organism_code1</t>
  </si>
  <si>
    <t>LH13MENA</t>
  </si>
  <si>
    <t>OC13MEO1</t>
  </si>
  <si>
    <t>dischargeMeningitisOrganismCode2</t>
  </si>
  <si>
    <t>Meningitis: Organism Code 2</t>
  </si>
  <si>
    <t>discharge_meningitis_organism_code2</t>
  </si>
  <si>
    <t>LH13MENB</t>
  </si>
  <si>
    <t>OC13MEO2</t>
  </si>
  <si>
    <t>dischargeMeningitisOrganismCode3</t>
  </si>
  <si>
    <t>Meningitis: Organism Code 3</t>
  </si>
  <si>
    <t>discharge_meningitis_organism_code3</t>
  </si>
  <si>
    <t>LH13MENC</t>
  </si>
  <si>
    <t>OC13ME03</t>
  </si>
  <si>
    <t>dischargeNeuroExam</t>
  </si>
  <si>
    <t>discharge_neuro_exam</t>
  </si>
  <si>
    <t>dischargeNeuroExamStatus</t>
  </si>
  <si>
    <t>Discharge/Death Exam Situation Code: neuro exam at death/discharge?</t>
  </si>
  <si>
    <t>discharge_neuro_exam_status</t>
  </si>
  <si>
    <t>OC11EXCO</t>
  </si>
  <si>
    <t>dischargeNeuroExamDate</t>
  </si>
  <si>
    <t>Discharge Neuro Exam:  Date</t>
  </si>
  <si>
    <t>discharge_neuro_exam_date</t>
  </si>
  <si>
    <t>LH11DT_2</t>
  </si>
  <si>
    <t>dischargeNeuroExamTime</t>
  </si>
  <si>
    <t>Discharge Neuro Exam:  Time</t>
  </si>
  <si>
    <t>discharge_neuro_exam_time</t>
  </si>
  <si>
    <t>LH11TM_2</t>
  </si>
  <si>
    <t>dischargeNeuroExamLevelConsciousness</t>
  </si>
  <si>
    <t>Discharge Neuro Exam:  Level of Consciousness</t>
  </si>
  <si>
    <t>discharge_neuro_exam_level_consciousness</t>
  </si>
  <si>
    <t>LH11LC_2</t>
  </si>
  <si>
    <t>dischargeNeuroExamSpontaneousActivity</t>
  </si>
  <si>
    <t>Discharge Neuro Exam:  Spontaneous Activity</t>
  </si>
  <si>
    <t>discharge_neuro_exam_spontaneous_activity</t>
  </si>
  <si>
    <t>LH11SP_2</t>
  </si>
  <si>
    <t>dischargeNeuroExamPosture</t>
  </si>
  <si>
    <t>Discharge Neuro Exam:  Posture</t>
  </si>
  <si>
    <t>discharge_neuro_exam_posture</t>
  </si>
  <si>
    <t>LH11PO_2</t>
  </si>
  <si>
    <t>dischargeNeuroExamTone</t>
  </si>
  <si>
    <t>Discharge Neuro Exam:  Decreased Tone (hypotonia 2 or 3)</t>
  </si>
  <si>
    <t>discharge_neuro_exam_tone</t>
  </si>
  <si>
    <t>LH11TO_2</t>
  </si>
  <si>
    <t>dischargeNeuroExamSuck</t>
  </si>
  <si>
    <t>Discharge Neuro Exam:  Suck</t>
  </si>
  <si>
    <t>discharge_neuro_exam_suck</t>
  </si>
  <si>
    <t>LH11SC_2</t>
  </si>
  <si>
    <t>dischargeNeuroExamMoro</t>
  </si>
  <si>
    <t>Discharge Neuro Exam:  Moro</t>
  </si>
  <si>
    <t>discharge_neuro_exam_moro</t>
  </si>
  <si>
    <t>LH11MR_2</t>
  </si>
  <si>
    <t>dischargeNeuroExamPupils</t>
  </si>
  <si>
    <t>Discharge Neuro Exam:  Pupils</t>
  </si>
  <si>
    <t>discharge_neuro_exam_pupils</t>
  </si>
  <si>
    <t>LH11PU_2</t>
  </si>
  <si>
    <t>dischargeNeuroExamHeartRate</t>
  </si>
  <si>
    <t>Discharge Neuro Exam:  Heart rate</t>
  </si>
  <si>
    <t>discharge_neuro_exam_heart_rate</t>
  </si>
  <si>
    <t>LH11HR_2</t>
  </si>
  <si>
    <t>dischargeNeuroExamRespiration</t>
  </si>
  <si>
    <t>Discharge Neuro Exam:  Respiration</t>
  </si>
  <si>
    <t>discharge_neuro_exam_respiration</t>
  </si>
  <si>
    <t>LH11RS_2</t>
  </si>
  <si>
    <t>dischargeNeuroExamSeizure</t>
  </si>
  <si>
    <t>Discharge Neuro Exam:  Clinical seizures?</t>
  </si>
  <si>
    <t>discharge_neuro_exam_seizure</t>
  </si>
  <si>
    <t>LH11SZ_2</t>
  </si>
  <si>
    <t>dischargeNeuroExamClonusSustained</t>
  </si>
  <si>
    <t>Discharge Neuro Exam:  Clonus -- sustained</t>
  </si>
  <si>
    <t>discharge_neuro_exam_clonus_sustained</t>
  </si>
  <si>
    <t>LH11CL_2</t>
  </si>
  <si>
    <t>dischargeNeuroExamFistedHand</t>
  </si>
  <si>
    <t>Discharge Neuro Exam:  Fisted hand</t>
  </si>
  <si>
    <t>discharge_neuro_exam_fisted_hand</t>
  </si>
  <si>
    <t>LH11FS_2</t>
  </si>
  <si>
    <t>dischargeNeuroExamAbnormalMovement</t>
  </si>
  <si>
    <t>Discharge Neuro Exam:  Abnormal Movements</t>
  </si>
  <si>
    <t>discharge_neuro_exam_abnormal_movement</t>
  </si>
  <si>
    <t>LH11MO_2</t>
  </si>
  <si>
    <t>dischargeNeuroExamGagReflexAbsent</t>
  </si>
  <si>
    <t>Discharge Neuro Exam:  Gag reflex absent</t>
  </si>
  <si>
    <t>discharge_neuro_exam_gag_reflex_absent</t>
  </si>
  <si>
    <t>LH11GA_2</t>
  </si>
  <si>
    <t>dischargeNeuroExamSedate</t>
  </si>
  <si>
    <t>Discharge Neuro Exam: sedated?</t>
  </si>
  <si>
    <t>discharge_neuro_exam_sedate</t>
  </si>
  <si>
    <t>dischargeNeuroExamHypertonia</t>
  </si>
  <si>
    <t>Discharge Neuro Exam:  Hypertonia</t>
  </si>
  <si>
    <t>discharge_neuro_exam_hypertonia</t>
  </si>
  <si>
    <t>LH11HY_2</t>
  </si>
  <si>
    <t>dischargeNeuroExamAsymTonicNeckReflex</t>
  </si>
  <si>
    <t>Discharge Neuro Exam: Find: Asym. tonic neck reflex</t>
  </si>
  <si>
    <t>discharge_neuro_exam_asym_tonic_neck_reflex</t>
  </si>
  <si>
    <t>dischargeNeuroExamLevelConsciousnessScore</t>
  </si>
  <si>
    <t>discharge_neuro_exam_level_consciousness_score</t>
  </si>
  <si>
    <t>dischargeNeuroExamSpontaneousActivityScore</t>
  </si>
  <si>
    <t>discharge_neuro_exam_spontaneous_activity_score</t>
  </si>
  <si>
    <t>dischargeNeuroExamPostureScore</t>
  </si>
  <si>
    <t>discharge_neuro_exam_posture_score</t>
  </si>
  <si>
    <t>dischargeNeuroExamToneScore</t>
  </si>
  <si>
    <t>discharge_neuro_exam_tone_score</t>
  </si>
  <si>
    <t>dischargeNeuroExamSuckScore</t>
  </si>
  <si>
    <t>discharge_neuro_exam_suck_score</t>
  </si>
  <si>
    <t>dischargeNeuroExamMoroScore</t>
  </si>
  <si>
    <t>discharge_neuro_exam_moro_score</t>
  </si>
  <si>
    <t>dischargeNeuroExamPupilsScore</t>
  </si>
  <si>
    <t>discharge_neuro_exam_pupils_score</t>
  </si>
  <si>
    <t>dischargeNeuroExamHeartRateScore</t>
  </si>
  <si>
    <t>discharge_neuro_exam_heart_rate_score</t>
  </si>
  <si>
    <t>dischargeNeuroExamRespirationScore</t>
  </si>
  <si>
    <t>discharge_neuro_exam_respiration_score</t>
  </si>
  <si>
    <t>dischargeNeuroExamReflexScore</t>
  </si>
  <si>
    <t>discharge_neuro_exam_reflex_score</t>
  </si>
  <si>
    <t>dischargeNeuroExamANSScore</t>
  </si>
  <si>
    <t>discharge_neuro_exam_ans_score</t>
  </si>
  <si>
    <t>dischargeTotalModifiedSarnatScore</t>
  </si>
  <si>
    <t>total modified Sarnat scores of neuro exam at discharge chart</t>
  </si>
  <si>
    <t>discharge_total_modified_sarnat_score</t>
  </si>
  <si>
    <t>Seizure</t>
  </si>
  <si>
    <t>dischargeSeizure</t>
  </si>
  <si>
    <t>Did infant have documented seizures?</t>
  </si>
  <si>
    <t>discharge_seizure</t>
  </si>
  <si>
    <t>LH13NESZ</t>
  </si>
  <si>
    <t>OC13SEIZ</t>
  </si>
  <si>
    <t>any_seiz</t>
  </si>
  <si>
    <t>dischargeSeizurePreIntervention</t>
  </si>
  <si>
    <t>Seizures: Prior to study intervention</t>
  </si>
  <si>
    <t>discharge_seizure_pre_intervention</t>
  </si>
  <si>
    <t>LH13NESP</t>
  </si>
  <si>
    <t>OC13SPRI</t>
  </si>
  <si>
    <t>dischargeSeizureAfterBaseline</t>
  </si>
  <si>
    <t>Seizures: After Baseline</t>
  </si>
  <si>
    <t>discharge_seizure_after_baseline</t>
  </si>
  <si>
    <t>OC13SAFT</t>
  </si>
  <si>
    <t>dischargeSeizureMaintenance</t>
  </si>
  <si>
    <t>Seizures: During maintenance phase</t>
  </si>
  <si>
    <t>discharge_seizure_maintenance</t>
  </si>
  <si>
    <t>LH13NESD</t>
  </si>
  <si>
    <t>OC13SDMP</t>
  </si>
  <si>
    <t>dischargeSeizureRewarming</t>
  </si>
  <si>
    <t>Seizures: During re-warming phase</t>
  </si>
  <si>
    <t>discharge_seizure_rewarming</t>
  </si>
  <si>
    <t>LH13NESR</t>
  </si>
  <si>
    <t>OC13SDRW</t>
  </si>
  <si>
    <t>dischargeSeizurePostIntervention</t>
  </si>
  <si>
    <t>Seizures: After achieving normothermia</t>
  </si>
  <si>
    <t>discharge_seizure_post_intervention</t>
  </si>
  <si>
    <t>LH13NESA</t>
  </si>
  <si>
    <t>OC13SAAB</t>
  </si>
  <si>
    <t>dischargeEEG</t>
  </si>
  <si>
    <t>Was an EEG done?</t>
  </si>
  <si>
    <t>discharge_eeg</t>
  </si>
  <si>
    <t>LH13EEG</t>
  </si>
  <si>
    <t>OC13EEG</t>
  </si>
  <si>
    <t>dischargeEEGFindingConsistentWithSeizure</t>
  </si>
  <si>
    <t>Were findings consistent with seizures on any EEG?</t>
  </si>
  <si>
    <t>discharge_eeg_finding_consistent_with_seizure</t>
  </si>
  <si>
    <t>LH13EFIN</t>
  </si>
  <si>
    <t>OC13FCON</t>
  </si>
  <si>
    <t>dischargeEEGFindingConsistentWithSeizureDate</t>
  </si>
  <si>
    <t>Findings Consistent: Date of EEG</t>
  </si>
  <si>
    <t>discharge_eeg_finding_consistent_with_seizure_date</t>
  </si>
  <si>
    <t>LH13EDAT</t>
  </si>
  <si>
    <t>OC13CDAT</t>
  </si>
  <si>
    <t>dischargeEEGFindingConsistentWithSeizureTime</t>
  </si>
  <si>
    <t>Findings Consistent: Time of EEG</t>
  </si>
  <si>
    <t>discharge_eeg_finding_consistent_with_seizure_time</t>
  </si>
  <si>
    <t>LH13ETIM</t>
  </si>
  <si>
    <t>OC13CTIM</t>
  </si>
  <si>
    <t>dischargeEEGAbnormalBackgroundActivity</t>
  </si>
  <si>
    <t>Was there abnormal background activity on EEG?</t>
  </si>
  <si>
    <t>discharge_eeg_abnormal_background_activity</t>
  </si>
  <si>
    <t>LH13ABNM</t>
  </si>
  <si>
    <t>OC13ABBK</t>
  </si>
  <si>
    <t>dischargeEEGAbnormalBackgroundActivityDate</t>
  </si>
  <si>
    <t>Abnormal Bkg activity: Date</t>
  </si>
  <si>
    <t>discharge_eeg_abnormal_background_activity_date</t>
  </si>
  <si>
    <t>LH13ADAT</t>
  </si>
  <si>
    <t>OC13ADAT</t>
  </si>
  <si>
    <t>dischargeEEGAbnormalBackgroundActivityTime</t>
  </si>
  <si>
    <t>Abnormal Bkg activity: Time</t>
  </si>
  <si>
    <t>discharge_eeg_abnormal_background_activity_time</t>
  </si>
  <si>
    <t>LH13ATIM</t>
  </si>
  <si>
    <t>OC13ATIM</t>
  </si>
  <si>
    <t>dischargeAnticonvulsantsGreater72H</t>
  </si>
  <si>
    <t>Were anticonvulsants used for at least 72 hours?</t>
  </si>
  <si>
    <t>discharge_anticonvulsants_greater72h</t>
  </si>
  <si>
    <t>LH13ACON</t>
  </si>
  <si>
    <t>OC13ANCV</t>
  </si>
  <si>
    <t>dischargeAnticonvulsants</t>
  </si>
  <si>
    <t>Any anticonvulsants prior to discharge</t>
  </si>
  <si>
    <t>discharge_anticonvulsants</t>
  </si>
  <si>
    <t>any_antic</t>
  </si>
  <si>
    <t>Birth Defect</t>
  </si>
  <si>
    <t>dischargeSyndromeMalformation</t>
  </si>
  <si>
    <t>Were there syndromes/malformations diagnosed?</t>
  </si>
  <si>
    <t>discharge_syndrome_malformation</t>
  </si>
  <si>
    <t>LH13BDEF</t>
  </si>
  <si>
    <t>OC13SMDI</t>
  </si>
  <si>
    <t>dischargeBirthDefectCode1</t>
  </si>
  <si>
    <t>birthDefect</t>
  </si>
  <si>
    <t>Birth Defects Code 1</t>
  </si>
  <si>
    <t>discharge_birth_defect_code1</t>
  </si>
  <si>
    <t>LH13BDCA</t>
  </si>
  <si>
    <t>OC13BD1</t>
  </si>
  <si>
    <t>dischargeBirthDefectCode2</t>
  </si>
  <si>
    <t>Birth Defects Code 2</t>
  </si>
  <si>
    <t>discharge_birth_defect_code2</t>
  </si>
  <si>
    <t>LH13BDCB</t>
  </si>
  <si>
    <t>OC13BD2</t>
  </si>
  <si>
    <t>dischargeBirthDefectCode3</t>
  </si>
  <si>
    <t>Birth Defects Code 3</t>
  </si>
  <si>
    <t>discharge_birth_defect_code3</t>
  </si>
  <si>
    <t>LH13BDCC</t>
  </si>
  <si>
    <t>OC13BD3</t>
  </si>
  <si>
    <t>Home Therapy</t>
  </si>
  <si>
    <t>dischargeHomeTherapy</t>
  </si>
  <si>
    <t>home therapy?</t>
  </si>
  <si>
    <t>discharge_home_therapy</t>
  </si>
  <si>
    <t>OC13HOTH</t>
  </si>
  <si>
    <t>dischargeHomeTherapyVentilator</t>
  </si>
  <si>
    <t>discharge_home_therapy_ventilator</t>
  </si>
  <si>
    <t>LH13HTVN</t>
  </si>
  <si>
    <t>OC13HTVE</t>
  </si>
  <si>
    <t>dischargeHomeTherapyOxygen</t>
  </si>
  <si>
    <t>discharge_home_therapy_oxygen</t>
  </si>
  <si>
    <t>LH13HTO2</t>
  </si>
  <si>
    <t>OC13HTOX</t>
  </si>
  <si>
    <t>dischargeHomeTherapyGavageTubeFeed</t>
  </si>
  <si>
    <t>discharge_home_therapy_gavage_tube_feed</t>
  </si>
  <si>
    <t>LH13HTGV</t>
  </si>
  <si>
    <t>OC13HTTF</t>
  </si>
  <si>
    <t>dischargeHomeTherapyGastrostomyTubeFeed</t>
  </si>
  <si>
    <t>gstrostomy tube feeding?</t>
  </si>
  <si>
    <t>discharge_home_therapy_gastrostomy_tube_feed</t>
  </si>
  <si>
    <t>LH13HTGS</t>
  </si>
  <si>
    <t>OC13HTGT</t>
  </si>
  <si>
    <t>dischargeHomeTherapyTemperatureBlanket</t>
  </si>
  <si>
    <t>discharge_home_therapy_temperature_blanket</t>
  </si>
  <si>
    <t>LH13HTTB</t>
  </si>
  <si>
    <t>OC13MTTB</t>
  </si>
  <si>
    <t>dischargeHomeTherapyAnticonvulsantMedication</t>
  </si>
  <si>
    <t>discharge_home_therapy_anticonvulsant_medication</t>
  </si>
  <si>
    <t>LH13HTAM</t>
  </si>
  <si>
    <t>OC13HTAM</t>
  </si>
  <si>
    <t>dischargeHomeTherapyOther</t>
  </si>
  <si>
    <t>other?</t>
  </si>
  <si>
    <t>discharge_home_therapy_other</t>
  </si>
  <si>
    <t>LH13HTOT</t>
  </si>
  <si>
    <t>OC13HRO</t>
  </si>
  <si>
    <t>dischargeHomeTherapyOtherText</t>
  </si>
  <si>
    <t>discharge_home_therapy_other_text</t>
  </si>
  <si>
    <t>LH13HTOS</t>
  </si>
  <si>
    <t>OC13HTOS</t>
  </si>
  <si>
    <t>Withdrawal of Support</t>
  </si>
  <si>
    <t>wdrawSupport</t>
  </si>
  <si>
    <t>Was support withdrawn?</t>
  </si>
  <si>
    <t>wdraw_support</t>
  </si>
  <si>
    <t>LH12SWIT</t>
  </si>
  <si>
    <t>OC13SWD</t>
  </si>
  <si>
    <t>wdrawSupportDate</t>
  </si>
  <si>
    <t>Date support withdrawn</t>
  </si>
  <si>
    <t>wdraw_support_date</t>
  </si>
  <si>
    <t>LH12DWIT</t>
  </si>
  <si>
    <t>OC13SWDD</t>
  </si>
  <si>
    <t>wdrawSupportTime</t>
  </si>
  <si>
    <t>Time support withdrawn</t>
  </si>
  <si>
    <t>wdraw_support_time</t>
  </si>
  <si>
    <t>LH12TWIT</t>
  </si>
  <si>
    <t>OC13SWDT</t>
  </si>
  <si>
    <t>wdrawSupportDiscussedWithFamily</t>
  </si>
  <si>
    <t>Withdrawal of support discussed w/family</t>
  </si>
  <si>
    <t>wdraw_support_discussed_with_family</t>
  </si>
  <si>
    <t>LH12WDIS</t>
  </si>
  <si>
    <t>OC13WSUF</t>
  </si>
  <si>
    <t>wdrawSupportRecommendSolelyByClinicalTeam</t>
  </si>
  <si>
    <t>Was the recomendation to withdraw support made solely by the clinical team (i.e., a Study PI was not part of the clinical team)?</t>
  </si>
  <si>
    <t>wdraw_support_recommend_solely_by_clinical_team</t>
  </si>
  <si>
    <t>LH12SWRT</t>
  </si>
  <si>
    <t>OC13WSDE</t>
  </si>
  <si>
    <t>wdrawSupportNeurologicalExam</t>
  </si>
  <si>
    <t>Wdraw of support due to: neurological exam</t>
  </si>
  <si>
    <t>wdraw_support_neurological_exam</t>
  </si>
  <si>
    <t>LH12WNEU</t>
  </si>
  <si>
    <t>OC13WSNE</t>
  </si>
  <si>
    <t>wdrawSupportImagingStudy</t>
  </si>
  <si>
    <t>Wdraw of support due to: imaging studies</t>
  </si>
  <si>
    <t>wdraw_support_imaging_study</t>
  </si>
  <si>
    <t>LH12WIMA</t>
  </si>
  <si>
    <t>OC13WSIS</t>
  </si>
  <si>
    <t>wdrawSupportEEGFinding</t>
  </si>
  <si>
    <t>Wdraw of support due to: EEG findings</t>
  </si>
  <si>
    <t>wdraw_support_eeg_finding</t>
  </si>
  <si>
    <t>LH12WEEG</t>
  </si>
  <si>
    <t>OC13WSEF</t>
  </si>
  <si>
    <t>wdrawSupportMultisystemOrganFailureOtherThanCNS</t>
  </si>
  <si>
    <t>Wdraw of support due to: multi-system organ failure other than CNS</t>
  </si>
  <si>
    <t>wdraw_support_multisystem_organ_failure_other_than_cns</t>
  </si>
  <si>
    <t>LH12WMSY</t>
  </si>
  <si>
    <t>OC13WSMS</t>
  </si>
  <si>
    <t>wdrawSupportBrainBloodFlowScan</t>
  </si>
  <si>
    <t>Wdraw of support due to: brain blood flow scan</t>
  </si>
  <si>
    <t>wdraw_support_brain_blood_flow_scan</t>
  </si>
  <si>
    <t>LH12WBBF</t>
  </si>
  <si>
    <t>OC13WSBB</t>
  </si>
  <si>
    <t>wdrawSupportParentWish</t>
  </si>
  <si>
    <t>Wdraw of support due to: parent wishes</t>
  </si>
  <si>
    <t>wdraw_support_parent_wish</t>
  </si>
  <si>
    <t>LH12WPWI</t>
  </si>
  <si>
    <t>OC13WSPW</t>
  </si>
  <si>
    <t>wdrawSupportOther</t>
  </si>
  <si>
    <t>Wdraw of support due to: other</t>
  </si>
  <si>
    <t>wdraw_support_other</t>
  </si>
  <si>
    <t>LH12WOT</t>
  </si>
  <si>
    <t>OC13WSO</t>
  </si>
  <si>
    <t>wdrawSupportOtherText</t>
  </si>
  <si>
    <t>Wdraw of support due to: other specify</t>
  </si>
  <si>
    <t>wdraw_support_other_text</t>
  </si>
  <si>
    <t>LH12WOTS</t>
  </si>
  <si>
    <t>OC13WSOS</t>
  </si>
  <si>
    <t>Limitation of Care</t>
  </si>
  <si>
    <t>limitCareDiscussedWithFamily</t>
  </si>
  <si>
    <t>Was limitation of care of an acutely deteriorating infant discussed with the family by the clinical team?</t>
  </si>
  <si>
    <t>limit_care_discussed_with_family</t>
  </si>
  <si>
    <t>LH12LOCD</t>
  </si>
  <si>
    <t>OC13LOC</t>
  </si>
  <si>
    <t>limitCareRecommendSolelyByClinicalTeam</t>
  </si>
  <si>
    <t>Recommendation to limit care solely by clinical team?</t>
  </si>
  <si>
    <t>limit_care_recommend_solely_by_clinical_team</t>
  </si>
  <si>
    <t>LH12LCRT</t>
  </si>
  <si>
    <t>OC13DBCT</t>
  </si>
  <si>
    <t>limitCareAgreedByFamilyAndCareTeam</t>
  </si>
  <si>
    <t>Were there any limitations of care agreed to by family and care team?</t>
  </si>
  <si>
    <t>limit_care_agreed_by_family_and_care_team</t>
  </si>
  <si>
    <t>LH12LOCA</t>
  </si>
  <si>
    <t>OC13LBFA</t>
  </si>
  <si>
    <t>limitCareNoFurtherMechanicalVentilationAndIntubation</t>
  </si>
  <si>
    <t>No further use of mechanical ventilation and intubation</t>
  </si>
  <si>
    <t>limit_care_no_further_mechanical_ventilation_and_intubation</t>
  </si>
  <si>
    <t>LH12LMVI</t>
  </si>
  <si>
    <t>OC13NFMV</t>
  </si>
  <si>
    <t>limitCareNoFurtherVentilationWithBagAndMask</t>
  </si>
  <si>
    <t>No further ventilation with bag and mask</t>
  </si>
  <si>
    <t>limit_care_no_further_ventilation_with_bag_and_mask</t>
  </si>
  <si>
    <t>LH12LVBM</t>
  </si>
  <si>
    <t>OC13NFBM</t>
  </si>
  <si>
    <t>limitCareNoFurtherMedicationsToSupportBP</t>
  </si>
  <si>
    <t>No further use of medications to support BP</t>
  </si>
  <si>
    <t>limit_care_no_further_medications_to_support_bp</t>
  </si>
  <si>
    <t>LH12LMBP</t>
  </si>
  <si>
    <t>OC13NFME</t>
  </si>
  <si>
    <t>limitCareNoFurtherChestCompression</t>
  </si>
  <si>
    <t>No further chest compressions</t>
  </si>
  <si>
    <t>limit_care_no_further_chest_compression</t>
  </si>
  <si>
    <t>LH12LCC</t>
  </si>
  <si>
    <t>OC13NFCC</t>
  </si>
  <si>
    <t>limitCareNoFurtherEmergencyMedication</t>
  </si>
  <si>
    <t>No further use of emergency medications (epi, bicarbonate)</t>
  </si>
  <si>
    <t>limit_care_no_further_emergency_medication</t>
  </si>
  <si>
    <t>LH12LEM</t>
  </si>
  <si>
    <t>OC13NFEM</t>
  </si>
  <si>
    <t>limitCareDNR</t>
  </si>
  <si>
    <t>Was there a DNR Order?</t>
  </si>
  <si>
    <t>limit_care_dnr</t>
  </si>
  <si>
    <t>LH12DNR</t>
  </si>
  <si>
    <t>OC13DNR</t>
  </si>
  <si>
    <t>limitCareDNRDate</t>
  </si>
  <si>
    <t>Date of DNR order</t>
  </si>
  <si>
    <t>limit_care_dnr_date</t>
  </si>
  <si>
    <t>LH12DDNR</t>
  </si>
  <si>
    <t>OC13DNRD</t>
  </si>
  <si>
    <t>limitCareDNRTime</t>
  </si>
  <si>
    <t>Time of DNR order</t>
  </si>
  <si>
    <t>limit_care_dnr_time</t>
  </si>
  <si>
    <t>LH12TDNR</t>
  </si>
  <si>
    <t>OC13DNRT</t>
  </si>
  <si>
    <t>Follow Up</t>
  </si>
  <si>
    <t>followupCenter</t>
  </si>
  <si>
    <t>followup_center</t>
  </si>
  <si>
    <t>site-id</t>
  </si>
  <si>
    <t>visitDate</t>
  </si>
  <si>
    <t>visit date</t>
  </si>
  <si>
    <t>visit_date</t>
  </si>
  <si>
    <t>VISITDT</t>
  </si>
  <si>
    <t>previous center (if transferred)</t>
  </si>
  <si>
    <t>PREVCNTR</t>
  </si>
  <si>
    <t>hypothermia id</t>
  </si>
  <si>
    <t>followupID</t>
  </si>
  <si>
    <t>follow-up id</t>
  </si>
  <si>
    <t>followup_id</t>
  </si>
  <si>
    <t>LHFOLNUM</t>
  </si>
  <si>
    <t>center_orig</t>
  </si>
  <si>
    <t>SES</t>
  </si>
  <si>
    <t>SESVisitDate</t>
  </si>
  <si>
    <t>date of visit</t>
  </si>
  <si>
    <t>ses_visit_date</t>
  </si>
  <si>
    <t>CFVISDT</t>
  </si>
  <si>
    <t>SESBirthDate</t>
  </si>
  <si>
    <t>date of birth</t>
  </si>
  <si>
    <t>ses_birth_date</t>
  </si>
  <si>
    <t>CFBRTHDT</t>
  </si>
  <si>
    <t>chronologicalAge_mo</t>
  </si>
  <si>
    <t>chronological age</t>
  </si>
  <si>
    <t>chronological_age_mo</t>
  </si>
  <si>
    <t>CFCHRAGE</t>
  </si>
  <si>
    <t>correctedAge_mo</t>
  </si>
  <si>
    <t>corrected age</t>
  </si>
  <si>
    <t>corrected_age_mo</t>
  </si>
  <si>
    <t>CFADJAGE</t>
  </si>
  <si>
    <t>underStateSupervision</t>
  </si>
  <si>
    <t>is the child under state supervision</t>
  </si>
  <si>
    <t>under_state_supervision</t>
  </si>
  <si>
    <t>CFSUPER</t>
  </si>
  <si>
    <t>primaryCaretaker</t>
  </si>
  <si>
    <t>relationship</t>
  </si>
  <si>
    <t>primary caretaker</t>
  </si>
  <si>
    <t>primary_caretaker</t>
  </si>
  <si>
    <t>CFCARE</t>
  </si>
  <si>
    <t>otherCaretaker</t>
  </si>
  <si>
    <t>other caretaker</t>
  </si>
  <si>
    <t>other_caretaker</t>
  </si>
  <si>
    <t>CFOCAR</t>
  </si>
  <si>
    <t>maritalStatusPrimaryCaretaker</t>
  </si>
  <si>
    <t>pimrary caretaker's marital status</t>
  </si>
  <si>
    <t>marital_status_primary_caretaker</t>
  </si>
  <si>
    <t>CFMARITL</t>
  </si>
  <si>
    <t>livingArrangementChild</t>
  </si>
  <si>
    <t>livingArrange</t>
  </si>
  <si>
    <t>child's current living arrangement</t>
  </si>
  <si>
    <t>living_arrangement_child</t>
  </si>
  <si>
    <t>CFLIVING</t>
  </si>
  <si>
    <t>numberPeopleInChildHousehold</t>
  </si>
  <si>
    <t>number of people living in child's household</t>
  </si>
  <si>
    <t>number_people_in_child_household</t>
  </si>
  <si>
    <t>CFPEOPLE</t>
  </si>
  <si>
    <t>otherContributeMoneyToChildHousehold</t>
  </si>
  <si>
    <t>apart from primary caretaker, do others contribute money to the child's household?</t>
  </si>
  <si>
    <t>other_contribute_money_to_child_household</t>
  </si>
  <si>
    <t>NF3MONEY</t>
  </si>
  <si>
    <t>educationPrimaryCaretaker</t>
  </si>
  <si>
    <t>highest grade completed or attended - primary caretaker</t>
  </si>
  <si>
    <t>education_primary_caretaker</t>
  </si>
  <si>
    <t>CFGRPCAR</t>
  </si>
  <si>
    <t>educationOtherCaretaker</t>
  </si>
  <si>
    <t>highest grade completed or attended - other caretaker</t>
  </si>
  <si>
    <t>education_other_caretaker</t>
  </si>
  <si>
    <t>CFGROCAR</t>
  </si>
  <si>
    <t>workPrimaryCaretaker</t>
  </si>
  <si>
    <t>currently working - primary caretaker</t>
  </si>
  <si>
    <t>work_primary_caretaker</t>
  </si>
  <si>
    <t>CFWKPCAR</t>
  </si>
  <si>
    <t>workOtherCaretaker</t>
  </si>
  <si>
    <t>currently working - other caretaker</t>
  </si>
  <si>
    <t>work_other_caretaker</t>
  </si>
  <si>
    <t>CFWKOCAR</t>
  </si>
  <si>
    <t>inSchoolPrimaryCaretaker</t>
  </si>
  <si>
    <t>currently in school - pimrary caretaker</t>
  </si>
  <si>
    <t>in_school_primary_caretaker</t>
  </si>
  <si>
    <t>CFSCCARE</t>
  </si>
  <si>
    <t>inSchoolOtherCaretaker</t>
  </si>
  <si>
    <t>currently in school - other caretaker</t>
  </si>
  <si>
    <t>in_school_other_caretaker</t>
  </si>
  <si>
    <t>CFSCADUL</t>
  </si>
  <si>
    <t>totalIncomeChildHousehold</t>
  </si>
  <si>
    <t>totalIncome</t>
  </si>
  <si>
    <t>total income in the child's household</t>
  </si>
  <si>
    <t>total_income_child_household</t>
  </si>
  <si>
    <t>CFINCOME</t>
  </si>
  <si>
    <t>medicalInsuranceChild</t>
  </si>
  <si>
    <t>child's medical insurance</t>
  </si>
  <si>
    <t>medical_insurance_child</t>
  </si>
  <si>
    <t>CFINSUR</t>
  </si>
  <si>
    <t>primaryLanguageChild</t>
  </si>
  <si>
    <t>language</t>
  </si>
  <si>
    <t>primary language spoken to the child</t>
  </si>
  <si>
    <t>primary_language_child</t>
  </si>
  <si>
    <t>CFLANG</t>
  </si>
  <si>
    <t>primaryLanguageChildOtherText</t>
  </si>
  <si>
    <t>language: other - specify</t>
  </si>
  <si>
    <t>primary_language_child_other_text</t>
  </si>
  <si>
    <t>CFOTHLAN</t>
  </si>
  <si>
    <t>isSecondaryLanguageChild</t>
  </si>
  <si>
    <t>is secondary language spoken to the child</t>
  </si>
  <si>
    <t>is_secondary_language_child</t>
  </si>
  <si>
    <t>CFSECLAN</t>
  </si>
  <si>
    <t>secondaryLanguageChild</t>
  </si>
  <si>
    <t>secondary language spoken to the child</t>
  </si>
  <si>
    <t>secondary_language_child</t>
  </si>
  <si>
    <t>CFSECOND</t>
  </si>
  <si>
    <t>secondaryLanguageChildOtherText</t>
  </si>
  <si>
    <t>secondary language: other -specify</t>
  </si>
  <si>
    <t>secondary_language_child_other_text</t>
  </si>
  <si>
    <t>CFOTHSEC</t>
  </si>
  <si>
    <t>numberPlaceChildLive</t>
  </si>
  <si>
    <t>number of places the child has lived since discharge</t>
  </si>
  <si>
    <t>number_place_child_live</t>
  </si>
  <si>
    <t>CFNMPLLV</t>
  </si>
  <si>
    <t>zipcode</t>
  </si>
  <si>
    <t>child's current zipcode</t>
  </si>
  <si>
    <t>NF3ZIP3</t>
  </si>
  <si>
    <t>visitingNurseReceive</t>
  </si>
  <si>
    <t>receive</t>
  </si>
  <si>
    <t>visiting nurse - received</t>
  </si>
  <si>
    <t>visiting_nurse_receive</t>
  </si>
  <si>
    <t>CFNURSEV</t>
  </si>
  <si>
    <t>visitingNurseNeed</t>
  </si>
  <si>
    <t>visiting nurse - need</t>
  </si>
  <si>
    <t>visiting_nurse_need</t>
  </si>
  <si>
    <t>CFNDNRSV</t>
  </si>
  <si>
    <t>homeNurseReceive</t>
  </si>
  <si>
    <t>home nurse - received</t>
  </si>
  <si>
    <t>home_nurse_receive</t>
  </si>
  <si>
    <t>CFNURSEH</t>
  </si>
  <si>
    <t>homeNurseNeed</t>
  </si>
  <si>
    <t>home nurse - need</t>
  </si>
  <si>
    <t>home_nurse_need</t>
  </si>
  <si>
    <t>CFNDNRSH</t>
  </si>
  <si>
    <t>otPtReceive</t>
  </si>
  <si>
    <t>ot / pt - received</t>
  </si>
  <si>
    <t>ot_pt_receive</t>
  </si>
  <si>
    <t>CFOTPT</t>
  </si>
  <si>
    <t>otPtNeed</t>
  </si>
  <si>
    <t>ot / pt - need</t>
  </si>
  <si>
    <t>ot_pt_need</t>
  </si>
  <si>
    <t>CFNDOTPT</t>
  </si>
  <si>
    <t>speechTherapyReceive</t>
  </si>
  <si>
    <t>speech theray - received</t>
  </si>
  <si>
    <t>speech_therapy_receive</t>
  </si>
  <si>
    <t>CFSPEECH</t>
  </si>
  <si>
    <t>speechTherapyNeed</t>
  </si>
  <si>
    <t>speech theray - needed</t>
  </si>
  <si>
    <t>speech_therapy_need</t>
  </si>
  <si>
    <t>CFNDSPCH</t>
  </si>
  <si>
    <t>earlyInterventionReceive</t>
  </si>
  <si>
    <t>early intervention - received</t>
  </si>
  <si>
    <t>early_intervention_receive</t>
  </si>
  <si>
    <t>CFEARLY</t>
  </si>
  <si>
    <t>earlyInterventionNeed</t>
  </si>
  <si>
    <t>early intervention - needed</t>
  </si>
  <si>
    <t>early_intervention_need</t>
  </si>
  <si>
    <t>CFNDEALY</t>
  </si>
  <si>
    <t>socialWorkForChildReceive</t>
  </si>
  <si>
    <t>social work for the child - received</t>
  </si>
  <si>
    <t>social_work_for_child_receive</t>
  </si>
  <si>
    <t>CFSOCIAL</t>
  </si>
  <si>
    <t>socialWorkForChildNeed</t>
  </si>
  <si>
    <t>social work for the child - needed</t>
  </si>
  <si>
    <t>social_work_for_child_need</t>
  </si>
  <si>
    <t>CFNDSOCL</t>
  </si>
  <si>
    <t>specialClinicReceive</t>
  </si>
  <si>
    <t>special clinical visit - received</t>
  </si>
  <si>
    <t>special_clinic_receive</t>
  </si>
  <si>
    <t>CFCLINIC</t>
  </si>
  <si>
    <t>specialClinicNeed</t>
  </si>
  <si>
    <t>special clinical visit - needed</t>
  </si>
  <si>
    <t>special_clinic_need</t>
  </si>
  <si>
    <t>CFNDCLIN</t>
  </si>
  <si>
    <t>pulmonaryReceive</t>
  </si>
  <si>
    <t>pulmonary - received</t>
  </si>
  <si>
    <t>pulmonary_receive</t>
  </si>
  <si>
    <t>CFCVPUL</t>
  </si>
  <si>
    <t>pulmonaryNeed</t>
  </si>
  <si>
    <t>pulmonary - needed</t>
  </si>
  <si>
    <t>pulmonary_need</t>
  </si>
  <si>
    <t>CFNDPUL</t>
  </si>
  <si>
    <t>ophthalmologicReceive</t>
  </si>
  <si>
    <t>ophthalmologic - received</t>
  </si>
  <si>
    <t>ophthalmologic_receive</t>
  </si>
  <si>
    <t>CFCVOPH</t>
  </si>
  <si>
    <t>ophthalmologicNeed</t>
  </si>
  <si>
    <t>ophthalmologic - needed</t>
  </si>
  <si>
    <t>ophthalmologic_need</t>
  </si>
  <si>
    <t>CFNDOPH</t>
  </si>
  <si>
    <t>gastrointestinalReceive</t>
  </si>
  <si>
    <t>gastrointestinal - received</t>
  </si>
  <si>
    <t>gastrointestinal_receive</t>
  </si>
  <si>
    <t>CFCVGAS</t>
  </si>
  <si>
    <t>gastrointestinalNeed</t>
  </si>
  <si>
    <t>gastrointestinal - needed</t>
  </si>
  <si>
    <t>gastrointestinal_need</t>
  </si>
  <si>
    <t>CFNDGAS</t>
  </si>
  <si>
    <t>audiologicReceive</t>
  </si>
  <si>
    <t>audiologic - received</t>
  </si>
  <si>
    <t>audiologic_receive</t>
  </si>
  <si>
    <t>CFCVAUD</t>
  </si>
  <si>
    <t>audiologicNeed</t>
  </si>
  <si>
    <t>audiologic - needed</t>
  </si>
  <si>
    <t>audiologic_need</t>
  </si>
  <si>
    <t>CFNDAUD</t>
  </si>
  <si>
    <t>neurologicReceive</t>
  </si>
  <si>
    <t>neurologic - received</t>
  </si>
  <si>
    <t>neurologic_receive</t>
  </si>
  <si>
    <t>CFCVNEU</t>
  </si>
  <si>
    <t>neurologicNeed</t>
  </si>
  <si>
    <t>neurologic - needed</t>
  </si>
  <si>
    <t>neurologic_need</t>
  </si>
  <si>
    <t>CFNDNEU</t>
  </si>
  <si>
    <t>otherReceive</t>
  </si>
  <si>
    <t>other - received</t>
  </si>
  <si>
    <t>other_receive</t>
  </si>
  <si>
    <t>CFCVOTH</t>
  </si>
  <si>
    <t>otherNeed</t>
  </si>
  <si>
    <t>other - needed</t>
  </si>
  <si>
    <t>other_need</t>
  </si>
  <si>
    <t>CFNDOTH</t>
  </si>
  <si>
    <t>otherNeedText</t>
  </si>
  <si>
    <t>other_need_text</t>
  </si>
  <si>
    <t>CFCVOSP</t>
  </si>
  <si>
    <t>neurodevelopmentReceive</t>
  </si>
  <si>
    <t>neuraldevelopment - received</t>
  </si>
  <si>
    <t>neurodevelopment_receive</t>
  </si>
  <si>
    <t>CFEVAL</t>
  </si>
  <si>
    <t>neurodevelopmentNeed</t>
  </si>
  <si>
    <t>neuraldevelopment - needed</t>
  </si>
  <si>
    <t>neurodevelopment_need</t>
  </si>
  <si>
    <t>CFNDEVAL</t>
  </si>
  <si>
    <t>prematureFollowupClinicReceive</t>
  </si>
  <si>
    <t>premature followup clinic - received</t>
  </si>
  <si>
    <t>premature_followup_clinic_receive</t>
  </si>
  <si>
    <t>CFPREFU</t>
  </si>
  <si>
    <t>prematureFollowupClinicNeed</t>
  </si>
  <si>
    <t>premature followup clinic - needed</t>
  </si>
  <si>
    <t>premature_followup_clinic_need</t>
  </si>
  <si>
    <t>CFNDPFU</t>
  </si>
  <si>
    <t>regularDoctor</t>
  </si>
  <si>
    <t>does the child have a regular doctor?</t>
  </si>
  <si>
    <t>regular_doctor</t>
  </si>
  <si>
    <t>CFREGDR</t>
  </si>
  <si>
    <t>resideChronicCareFacility</t>
  </si>
  <si>
    <t>does the child reside in a chronic care facility?</t>
  </si>
  <si>
    <t>reside_chronic_care_facility</t>
  </si>
  <si>
    <t>CFCCFAC</t>
  </si>
  <si>
    <t>takenCareOfByOther</t>
  </si>
  <si>
    <t>does the child taken care of by someone other than the primary caregiver?</t>
  </si>
  <si>
    <t>taken_care_of_by_other</t>
  </si>
  <si>
    <t>CFCAROT</t>
  </si>
  <si>
    <t>traditionalCenterCare</t>
  </si>
  <si>
    <t>traditional center-based day/child care</t>
  </si>
  <si>
    <t>traditional_center_care</t>
  </si>
  <si>
    <t>CFTRDYCR</t>
  </si>
  <si>
    <t>traditionalCenterCareAvgHrPerWeek</t>
  </si>
  <si>
    <t>traditional center-based day/child care- average hours per week</t>
  </si>
  <si>
    <t>traditional_center_care_avg_hr_per_week</t>
  </si>
  <si>
    <t>CFTRDCHR</t>
  </si>
  <si>
    <t>medicalChildCare</t>
  </si>
  <si>
    <t>medical child care by medical professionals</t>
  </si>
  <si>
    <t>medical_child_care</t>
  </si>
  <si>
    <t>CFSPDYCR</t>
  </si>
  <si>
    <t>medicalChildCareAvgHrPerWeek</t>
  </si>
  <si>
    <t>medical child care by medical professionals - average hours per week</t>
  </si>
  <si>
    <t>medical_child_care_avg_hr_per_week</t>
  </si>
  <si>
    <t>CFSPDCHR</t>
  </si>
  <si>
    <t>medicalChildCareWhere</t>
  </si>
  <si>
    <t>homeCareLocation</t>
  </si>
  <si>
    <t>medical child care by medical professionals - where</t>
  </si>
  <si>
    <t>medical_child_care_where</t>
  </si>
  <si>
    <t>CFSPDCLC</t>
  </si>
  <si>
    <t>traditionalHomeCare</t>
  </si>
  <si>
    <t>traditional home-based day/child care</t>
  </si>
  <si>
    <t>traditional_home_care</t>
  </si>
  <si>
    <t>CFHMDYCR</t>
  </si>
  <si>
    <t>traditionalHomeCareAvgHrPerWeek</t>
  </si>
  <si>
    <t>traditional home-based day/child care- average hours per week</t>
  </si>
  <si>
    <t>traditional_home_care_avg_hr_per_week</t>
  </si>
  <si>
    <t>CFHMDCHR</t>
  </si>
  <si>
    <t>traditionalHomeCareWhose</t>
  </si>
  <si>
    <t>traditional home-based day/child care- whose home</t>
  </si>
  <si>
    <t>traditional_home_care_whose</t>
  </si>
  <si>
    <t>CFHMDCLC</t>
  </si>
  <si>
    <t>babysitter</t>
  </si>
  <si>
    <t>CFBBYSIT</t>
  </si>
  <si>
    <t>babysitterAvgHrPerWeek</t>
  </si>
  <si>
    <t>babysitter - average hours to week</t>
  </si>
  <si>
    <t>babysitter_avg_hr_per_week</t>
  </si>
  <si>
    <t>CFBSITHR</t>
  </si>
  <si>
    <t>babysitterRelation</t>
  </si>
  <si>
    <t>babysitter - relation to the child</t>
  </si>
  <si>
    <t>babysitter_relation</t>
  </si>
  <si>
    <t>CFBABSTR</t>
  </si>
  <si>
    <t>SESInterviewWhere</t>
  </si>
  <si>
    <t>interviewLocation</t>
  </si>
  <si>
    <t>where was interview conducted</t>
  </si>
  <si>
    <t>ses_interview_where</t>
  </si>
  <si>
    <t>CFPLACE</t>
  </si>
  <si>
    <t>SESInterviewDate</t>
  </si>
  <si>
    <t>date of ses interview</t>
  </si>
  <si>
    <t>ses_interview_date</t>
  </si>
  <si>
    <t>CFCOMPDT</t>
  </si>
  <si>
    <t>Medical History</t>
  </si>
  <si>
    <t>rehospitalize</t>
  </si>
  <si>
    <t>has been re-hospitalized since discharge?</t>
  </si>
  <si>
    <t>DFREHOSP</t>
  </si>
  <si>
    <t>numberRehospitalize</t>
  </si>
  <si>
    <t>how many times has the child been re-hospitalized</t>
  </si>
  <si>
    <t>number_rehospitalize</t>
  </si>
  <si>
    <t>DFTIMES</t>
  </si>
  <si>
    <t>operation</t>
  </si>
  <si>
    <t>has the child had any operations</t>
  </si>
  <si>
    <t>DFOPERAT</t>
  </si>
  <si>
    <t>operationTypanostomyTube</t>
  </si>
  <si>
    <t>typanostomy tubes placed?</t>
  </si>
  <si>
    <t>operation_typanostomy_tube</t>
  </si>
  <si>
    <t>DFOPTYMP</t>
  </si>
  <si>
    <t>operationTracheostomy</t>
  </si>
  <si>
    <t>tracheostomy?</t>
  </si>
  <si>
    <t>operation_tracheostomy</t>
  </si>
  <si>
    <t>DFOPTRAC</t>
  </si>
  <si>
    <t>operationEyeSurgery</t>
  </si>
  <si>
    <t>eye surgery?</t>
  </si>
  <si>
    <t>operation_eye_surgery</t>
  </si>
  <si>
    <t>DFOP_EYE</t>
  </si>
  <si>
    <t>operationEyeSurgeryReason</t>
  </si>
  <si>
    <t>eyeSurgeryReason</t>
  </si>
  <si>
    <t>eye surgery - reason</t>
  </si>
  <si>
    <t>operation_eye_surgery_reason</t>
  </si>
  <si>
    <t>DFOPEYER</t>
  </si>
  <si>
    <t>operationHerniaSurgery</t>
  </si>
  <si>
    <t>hernia surgery?</t>
  </si>
  <si>
    <t>operation_hernia_surgery</t>
  </si>
  <si>
    <t>DFOPHERN</t>
  </si>
  <si>
    <t>operationGastrostomyTube</t>
  </si>
  <si>
    <t>gastrostomy tube/button placed?</t>
  </si>
  <si>
    <t>operation_gastrostomy_tube</t>
  </si>
  <si>
    <t>DFOPGAST</t>
  </si>
  <si>
    <t>operationFundoplication</t>
  </si>
  <si>
    <t>fundoplication?</t>
  </si>
  <si>
    <t>operation_fundoplication</t>
  </si>
  <si>
    <t>DFOPFUND</t>
  </si>
  <si>
    <t>operationShuntForHydrocephalus</t>
  </si>
  <si>
    <t>shunt for hydrocephalus?</t>
  </si>
  <si>
    <t>operation_shunt_for_hydrocephalus</t>
  </si>
  <si>
    <t>DFOPSHUN</t>
  </si>
  <si>
    <t>operationReanastomosisOfLargeOrSmallIntenstine</t>
  </si>
  <si>
    <t>reanastomosis of large or small intestine?</t>
  </si>
  <si>
    <t>operation_reanastomosis_of_large_or_small_intenstine</t>
  </si>
  <si>
    <t>DFOPREAN</t>
  </si>
  <si>
    <t>operationPDALigation</t>
  </si>
  <si>
    <t>PDA ligation?</t>
  </si>
  <si>
    <t>operation_pda_ligation</t>
  </si>
  <si>
    <t>DFOPPDA</t>
  </si>
  <si>
    <t>operationBrochoscopy</t>
  </si>
  <si>
    <t>bronchoscopy?</t>
  </si>
  <si>
    <t>operation_brochoscopy</t>
  </si>
  <si>
    <t>DFOPBRON</t>
  </si>
  <si>
    <t>operationHypospadiusRepair</t>
  </si>
  <si>
    <t>hypospadius repair?</t>
  </si>
  <si>
    <t>operation_hypospadius_repair</t>
  </si>
  <si>
    <t>DFOPHYPO</t>
  </si>
  <si>
    <t>operationOther</t>
  </si>
  <si>
    <t>operation_other</t>
  </si>
  <si>
    <t>DFOPOTH</t>
  </si>
  <si>
    <t>operationOtherText</t>
  </si>
  <si>
    <t>operation_other_text</t>
  </si>
  <si>
    <t>DFOPOTHS</t>
  </si>
  <si>
    <t>medication</t>
  </si>
  <si>
    <t>medication repeatedly in the last 3 months?</t>
  </si>
  <si>
    <t>DFMEDIC</t>
  </si>
  <si>
    <t>vitaminMineralSupplement</t>
  </si>
  <si>
    <t>medicationUse</t>
  </si>
  <si>
    <t>vitamin/mineral supplements?</t>
  </si>
  <si>
    <t>vitamin_mineral_supplement</t>
  </si>
  <si>
    <t>NF4NUTRI</t>
  </si>
  <si>
    <t>highCaloricFormula</t>
  </si>
  <si>
    <t>high caloric formulas?</t>
  </si>
  <si>
    <t>high_caloric_formula</t>
  </si>
  <si>
    <t>NF4CALOR</t>
  </si>
  <si>
    <t>diuretics</t>
  </si>
  <si>
    <t>diuretics?</t>
  </si>
  <si>
    <t>NF4DIUR</t>
  </si>
  <si>
    <t>antiRefluxMedication</t>
  </si>
  <si>
    <t>anti-reflux medications?</t>
  </si>
  <si>
    <t>anti_reflux_medication</t>
  </si>
  <si>
    <t>NF4RFLUX</t>
  </si>
  <si>
    <t>bronchodilator</t>
  </si>
  <si>
    <t>bronchodilators?</t>
  </si>
  <si>
    <t>NF4BRONC</t>
  </si>
  <si>
    <t>inhaledSteroid</t>
  </si>
  <si>
    <t>inhaled steroids?</t>
  </si>
  <si>
    <t>inhaled_steroid</t>
  </si>
  <si>
    <t>DFIHSTRD</t>
  </si>
  <si>
    <t>oralIvSteroid</t>
  </si>
  <si>
    <t>oral or iv steroids?</t>
  </si>
  <si>
    <t>oral_iv_steroid</t>
  </si>
  <si>
    <t>DFOLSTRD</t>
  </si>
  <si>
    <t>otherAsthmaMedication</t>
  </si>
  <si>
    <t>other asthma medications?</t>
  </si>
  <si>
    <t>other_asthma_medication</t>
  </si>
  <si>
    <t>DFOASMA</t>
  </si>
  <si>
    <t>decongestantColdAllergyMedication</t>
  </si>
  <si>
    <t>decongestants/cold/allergy medications</t>
  </si>
  <si>
    <t>decongestant_cold_allergy_medication</t>
  </si>
  <si>
    <t>DFALGYMD</t>
  </si>
  <si>
    <t>anticonvulsantMedication</t>
  </si>
  <si>
    <t>anticonvulsant_medication</t>
  </si>
  <si>
    <t>NF4ANTCV</t>
  </si>
  <si>
    <t>prophylaticAntibiotics</t>
  </si>
  <si>
    <t>prophylatic antibiotics?</t>
  </si>
  <si>
    <t>prophylatic_antibiotics</t>
  </si>
  <si>
    <t>DFPRANTI</t>
  </si>
  <si>
    <t>antibiotics?</t>
  </si>
  <si>
    <t>DFANTBIO</t>
  </si>
  <si>
    <t>constipationMedication</t>
  </si>
  <si>
    <t>constipation medications?</t>
  </si>
  <si>
    <t>constipation_medication</t>
  </si>
  <si>
    <t>DFCNSPAT</t>
  </si>
  <si>
    <t>bloodPressureMedication</t>
  </si>
  <si>
    <t>blood pressure medications?</t>
  </si>
  <si>
    <t>blood_pressure_medication</t>
  </si>
  <si>
    <t>DFBPMED</t>
  </si>
  <si>
    <t>thyroidMedication</t>
  </si>
  <si>
    <t>thyroid medications?</t>
  </si>
  <si>
    <t>thyroid_medication</t>
  </si>
  <si>
    <t>DFTHYRD</t>
  </si>
  <si>
    <t>muscleRelaxants</t>
  </si>
  <si>
    <t>muscle relaxants?</t>
  </si>
  <si>
    <t>muscle_relaxants</t>
  </si>
  <si>
    <t>DFMRELAX</t>
  </si>
  <si>
    <t>botox</t>
  </si>
  <si>
    <t>botox?</t>
  </si>
  <si>
    <t>DFBOTOX</t>
  </si>
  <si>
    <t>otherMedication</t>
  </si>
  <si>
    <t>other medications?</t>
  </si>
  <si>
    <t>other_medication</t>
  </si>
  <si>
    <t>NF4OTMDS</t>
  </si>
  <si>
    <t>otherMedicationText</t>
  </si>
  <si>
    <t>other medications - specify</t>
  </si>
  <si>
    <t>other_medication_text</t>
  </si>
  <si>
    <t>NF4OTHSP</t>
  </si>
  <si>
    <t>seizure</t>
  </si>
  <si>
    <t>has the child had one or more seizures since discharge?</t>
  </si>
  <si>
    <t>DFSEIZ</t>
  </si>
  <si>
    <t>medicalEquipmentHomeUse</t>
  </si>
  <si>
    <t>medical equipment for home use?</t>
  </si>
  <si>
    <t>medical_equipment_home_use</t>
  </si>
  <si>
    <t>DFRECVD</t>
  </si>
  <si>
    <t>apneaMonitor</t>
  </si>
  <si>
    <t>apnea monitor</t>
  </si>
  <si>
    <t>apnea_monitor</t>
  </si>
  <si>
    <t>DFAPNEA</t>
  </si>
  <si>
    <t>oxygen</t>
  </si>
  <si>
    <t>DFOXYGEN</t>
  </si>
  <si>
    <t>ventilatorCPAP</t>
  </si>
  <si>
    <t>ventilator/CPAP</t>
  </si>
  <si>
    <t>ventilator_cpap</t>
  </si>
  <si>
    <t>DFVENT</t>
  </si>
  <si>
    <t>gastrostomyTube</t>
  </si>
  <si>
    <t>gastrostomy tube / tube feeding?</t>
  </si>
  <si>
    <t>gastrostomy_tube</t>
  </si>
  <si>
    <t>DFTUBE</t>
  </si>
  <si>
    <t>tracheostomy</t>
  </si>
  <si>
    <t>DFTRACH</t>
  </si>
  <si>
    <t>pulseOximeter</t>
  </si>
  <si>
    <t>pulse oximeter</t>
  </si>
  <si>
    <t>pulse_oximeter</t>
  </si>
  <si>
    <t>DFPLSEOX</t>
  </si>
  <si>
    <t>fluShot</t>
  </si>
  <si>
    <t>since discharge, has the child had flu shot?</t>
  </si>
  <si>
    <t>flu_shot</t>
  </si>
  <si>
    <t>DFFLUSHT</t>
  </si>
  <si>
    <t>RSVProphylaxis</t>
  </si>
  <si>
    <t>since discharge, has the child had RSV prophylaxis?</t>
  </si>
  <si>
    <t>rsv_prophylaxis</t>
  </si>
  <si>
    <t>DFRSVPRO</t>
  </si>
  <si>
    <t>independentFeedSelf</t>
  </si>
  <si>
    <t>does the child independently feed self?</t>
  </si>
  <si>
    <t>independent_feed_self</t>
  </si>
  <si>
    <t>DFSELF</t>
  </si>
  <si>
    <t>assistedEatByMouth</t>
  </si>
  <si>
    <t>does the child assisted given to eat by mouth?</t>
  </si>
  <si>
    <t>assisted_eat_by_mouth</t>
  </si>
  <si>
    <t>DFASSIST</t>
  </si>
  <si>
    <t>tubeFeed</t>
  </si>
  <si>
    <t>does the child tube feed?</t>
  </si>
  <si>
    <t>tube_feed</t>
  </si>
  <si>
    <t>DFTUBFED</t>
  </si>
  <si>
    <t>TPN</t>
  </si>
  <si>
    <t>tpn</t>
  </si>
  <si>
    <t>DF_TPN</t>
  </si>
  <si>
    <t>dietMilk</t>
  </si>
  <si>
    <t>is the child diet milk?</t>
  </si>
  <si>
    <t>diet_milk</t>
  </si>
  <si>
    <t>DF_MILK</t>
  </si>
  <si>
    <t>dietTableFood</t>
  </si>
  <si>
    <t>is the child diet table food?</t>
  </si>
  <si>
    <t>diet_table_food</t>
  </si>
  <si>
    <t>DFTBLFOD</t>
  </si>
  <si>
    <t>dietSoftFood</t>
  </si>
  <si>
    <t>is the child diet soft food?</t>
  </si>
  <si>
    <t>diet_soft_food</t>
  </si>
  <si>
    <t>DFSFTFOD</t>
  </si>
  <si>
    <t>dietLiquid</t>
  </si>
  <si>
    <t>is the child diet liquids?</t>
  </si>
  <si>
    <t>diet_liquid</t>
  </si>
  <si>
    <t>DFLIQUID</t>
  </si>
  <si>
    <t>dietThickendLiquid</t>
  </si>
  <si>
    <t>is the child diet thickened liquids?</t>
  </si>
  <si>
    <t>diet_thickend_liquid</t>
  </si>
  <si>
    <t>DFTHKLQD</t>
  </si>
  <si>
    <t>subcutaneousFatNecrosis</t>
  </si>
  <si>
    <t>subcutaneous fat necrosis?</t>
  </si>
  <si>
    <t>subcutaneous_fat_necrosis</t>
  </si>
  <si>
    <t>OF4FTNEC</t>
  </si>
  <si>
    <t>equipmentForStanding</t>
  </si>
  <si>
    <t>equipment (for standing/foot)</t>
  </si>
  <si>
    <t>equipment_for_standing</t>
  </si>
  <si>
    <t>DFEQUIP</t>
  </si>
  <si>
    <t>adaptedStroller</t>
  </si>
  <si>
    <t>adapted stroller / wheelchair</t>
  </si>
  <si>
    <t>adapted_stroller</t>
  </si>
  <si>
    <t>DFSTROLL</t>
  </si>
  <si>
    <t>bracesOrthotics</t>
  </si>
  <si>
    <t>braces / orthotics</t>
  </si>
  <si>
    <t>braces_orthotics</t>
  </si>
  <si>
    <t>DFBRACES</t>
  </si>
  <si>
    <t>walker</t>
  </si>
  <si>
    <t>DFWALKER</t>
  </si>
  <si>
    <t>stander</t>
  </si>
  <si>
    <t>DFSTNDER</t>
  </si>
  <si>
    <t>cornerChairTumblerForm</t>
  </si>
  <si>
    <t>corner chairs or tumbler form</t>
  </si>
  <si>
    <t>corner_chair_tumbler_form</t>
  </si>
  <si>
    <t>DFCNRCHR</t>
  </si>
  <si>
    <t>Medical Exam</t>
  </si>
  <si>
    <t>weight_kg</t>
  </si>
  <si>
    <t>EFWEIGHT</t>
  </si>
  <si>
    <t>length_cm</t>
  </si>
  <si>
    <t>EFLENGTH</t>
  </si>
  <si>
    <t>headCircumference_cm</t>
  </si>
  <si>
    <t>head_circumference_cm</t>
  </si>
  <si>
    <t>EFHC</t>
  </si>
  <si>
    <t>strabismusRight</t>
  </si>
  <si>
    <t>eye</t>
  </si>
  <si>
    <t>strabismus - right</t>
  </si>
  <si>
    <t>strabismus_right</t>
  </si>
  <si>
    <t>NF5STRRT</t>
  </si>
  <si>
    <t>strabismusLeft</t>
  </si>
  <si>
    <t>strabismus - left</t>
  </si>
  <si>
    <t>strabismus_left</t>
  </si>
  <si>
    <t>NF5STRLT</t>
  </si>
  <si>
    <t>nystagmusRight</t>
  </si>
  <si>
    <t>nystagmus - right</t>
  </si>
  <si>
    <t>nystagmus_right</t>
  </si>
  <si>
    <t>NF5NYSRT</t>
  </si>
  <si>
    <t>nystagmusLeft</t>
  </si>
  <si>
    <t>nystagmus - left</t>
  </si>
  <si>
    <t>nystagmus_left</t>
  </si>
  <si>
    <t>NF5NYSLT</t>
  </si>
  <si>
    <t>rovingEyeMovementRight</t>
  </si>
  <si>
    <t>roving eye movement - right</t>
  </si>
  <si>
    <t>roving_eye_movement_right</t>
  </si>
  <si>
    <t>NF5ROVRT</t>
  </si>
  <si>
    <t>rovingEyeMovementLeft</t>
  </si>
  <si>
    <t>roving eye movement - left</t>
  </si>
  <si>
    <t>roving_eye_movement_left</t>
  </si>
  <si>
    <t>NF5ROVLT</t>
  </si>
  <si>
    <t>eyeTrackRight</t>
  </si>
  <si>
    <t>tracks - right</t>
  </si>
  <si>
    <t>eye_track_right</t>
  </si>
  <si>
    <t>NF5TRKRT</t>
  </si>
  <si>
    <t>eyeTrackLeft</t>
  </si>
  <si>
    <t>tracks - left</t>
  </si>
  <si>
    <t>eye_track_left</t>
  </si>
  <si>
    <t>NF5TRKLT</t>
  </si>
  <si>
    <t>visionRight</t>
  </si>
  <si>
    <t>vision</t>
  </si>
  <si>
    <t>vision - right</t>
  </si>
  <si>
    <t>vision_right</t>
  </si>
  <si>
    <t>EFVISINR</t>
  </si>
  <si>
    <t>visionLeft</t>
  </si>
  <si>
    <t>vision - left</t>
  </si>
  <si>
    <t>vision_left</t>
  </si>
  <si>
    <t>EFVISINL</t>
  </si>
  <si>
    <t>audiologicAssessment</t>
  </si>
  <si>
    <t>audiologic assessment?</t>
  </si>
  <si>
    <t>audiologic_assessment</t>
  </si>
  <si>
    <t>EFAUDIO</t>
  </si>
  <si>
    <t>audiologicPendingForAssessment</t>
  </si>
  <si>
    <t>consult pending for assessment?</t>
  </si>
  <si>
    <t>audiologic_pending_for_assessment</t>
  </si>
  <si>
    <t>EFCONPEN</t>
  </si>
  <si>
    <t>visualReinforcementAudiometry</t>
  </si>
  <si>
    <t>visual reinforcement audiometry</t>
  </si>
  <si>
    <t>visual_reinforcement_audiometry</t>
  </si>
  <si>
    <t>NF5VRA</t>
  </si>
  <si>
    <t>VRARight</t>
  </si>
  <si>
    <t>hearing</t>
  </si>
  <si>
    <t>VRA - right</t>
  </si>
  <si>
    <t>vra_right</t>
  </si>
  <si>
    <t>NF5VRART</t>
  </si>
  <si>
    <t>VRALeft</t>
  </si>
  <si>
    <t>VRA - left</t>
  </si>
  <si>
    <t>vra_left</t>
  </si>
  <si>
    <t>NF5VRALT</t>
  </si>
  <si>
    <t>VRASoundField</t>
  </si>
  <si>
    <t>VRA - sound field</t>
  </si>
  <si>
    <t>vra_sound_field</t>
  </si>
  <si>
    <t>NF5VRASN</t>
  </si>
  <si>
    <t>ABR</t>
  </si>
  <si>
    <t>ABR?</t>
  </si>
  <si>
    <t>abr</t>
  </si>
  <si>
    <t>NF5ABR</t>
  </si>
  <si>
    <t>ABRRight</t>
  </si>
  <si>
    <t>ABR - right</t>
  </si>
  <si>
    <t>abr_right</t>
  </si>
  <si>
    <t>NF5ABRRT</t>
  </si>
  <si>
    <t>ABRLeft</t>
  </si>
  <si>
    <t>ABR - left</t>
  </si>
  <si>
    <t>abr_left</t>
  </si>
  <si>
    <t>NF5ABRLT</t>
  </si>
  <si>
    <t>hearingTestUnknown</t>
  </si>
  <si>
    <t>unknown type of hearing test?</t>
  </si>
  <si>
    <t>hearing_test_unknown</t>
  </si>
  <si>
    <t>NF5UKHR</t>
  </si>
  <si>
    <t>hearingTestUnknownRight</t>
  </si>
  <si>
    <t>unknown type of hearing test - right</t>
  </si>
  <si>
    <t>hearing_test_unknown_right</t>
  </si>
  <si>
    <t>NF5UKHRT</t>
  </si>
  <si>
    <t>hearingTestUnknownLeft</t>
  </si>
  <si>
    <t>unknown type of hearing test - left</t>
  </si>
  <si>
    <t>hearing_test_unknown_left</t>
  </si>
  <si>
    <t>NF5UKHLT</t>
  </si>
  <si>
    <t>hearingImpaired</t>
  </si>
  <si>
    <t>hearing impaired?</t>
  </si>
  <si>
    <t>hearing_impaired</t>
  </si>
  <si>
    <t>EFHEARIM</t>
  </si>
  <si>
    <t>hearingAidRequirement</t>
  </si>
  <si>
    <t>hearingAid</t>
  </si>
  <si>
    <t>hearing aid requirement</t>
  </si>
  <si>
    <t>hearing_aid_requirement</t>
  </si>
  <si>
    <t>EFHRDIS</t>
  </si>
  <si>
    <t>hearingImplant</t>
  </si>
  <si>
    <t>hearing implant?</t>
  </si>
  <si>
    <t>hearing_implant</t>
  </si>
  <si>
    <t>OFIMPLAN</t>
  </si>
  <si>
    <t>swallowing</t>
  </si>
  <si>
    <t>swallow</t>
  </si>
  <si>
    <t>EFSWALL</t>
  </si>
  <si>
    <t>dysphagia</t>
  </si>
  <si>
    <t>NF5DYSPH</t>
  </si>
  <si>
    <t>aspiration</t>
  </si>
  <si>
    <t>documented aspiration</t>
  </si>
  <si>
    <t>NF5ASPIR</t>
  </si>
  <si>
    <t>abnormalVoice</t>
  </si>
  <si>
    <t>abnormal voice</t>
  </si>
  <si>
    <t>abnormal_voice</t>
  </si>
  <si>
    <t>NF5ABVOC</t>
  </si>
  <si>
    <t>drooling</t>
  </si>
  <si>
    <t>NF5DROOL</t>
  </si>
  <si>
    <t>nothingByMouth</t>
  </si>
  <si>
    <t>nothing by mouth</t>
  </si>
  <si>
    <t>nothing_by_mouth</t>
  </si>
  <si>
    <t>NF5NPO</t>
  </si>
  <si>
    <t>observedAbnormalMovement</t>
  </si>
  <si>
    <t>observed abnormal movements</t>
  </si>
  <si>
    <t>observed_abnormal_movement</t>
  </si>
  <si>
    <t>EFABREST</t>
  </si>
  <si>
    <t>observedAbnormalMovementShortJerky</t>
  </si>
  <si>
    <t>observed abnormal movements - short - jerky</t>
  </si>
  <si>
    <t>observed_abnormal_movement_short_jerky</t>
  </si>
  <si>
    <t>EFSHORTR</t>
  </si>
  <si>
    <t>observedAbnormalMovementSlowWrithing</t>
  </si>
  <si>
    <t>observed abnormal movements - slow writhing</t>
  </si>
  <si>
    <t>observed_abnormal_movement_slow_writhing</t>
  </si>
  <si>
    <t>EFSLOWR</t>
  </si>
  <si>
    <t>observedAbnormalMovementTremor</t>
  </si>
  <si>
    <t>observed abnormal movements - tremor</t>
  </si>
  <si>
    <t>observed_abnormal_movement_tremor</t>
  </si>
  <si>
    <t>EFTREMRR</t>
  </si>
  <si>
    <t>passiveMuscleToneNeckTrunk</t>
  </si>
  <si>
    <t>passiveMuscleTone</t>
  </si>
  <si>
    <t>passive muscle tone - neck and trunk</t>
  </si>
  <si>
    <t>passive_muscle_tone_neck_trunk</t>
  </si>
  <si>
    <t>NF5NCTRK</t>
  </si>
  <si>
    <t>upperExtremityMuscleToneRight</t>
  </si>
  <si>
    <t>upper extremity muscle tone - right</t>
  </si>
  <si>
    <t>upper_extremity_muscle_tone_right</t>
  </si>
  <si>
    <t>NF5UPEXR</t>
  </si>
  <si>
    <t>upperExtremityMuscleToneLeft</t>
  </si>
  <si>
    <t>upper extremity muscle tone - left</t>
  </si>
  <si>
    <t>upper_extremity_muscle_tone_left</t>
  </si>
  <si>
    <t>NF5UPEXL</t>
  </si>
  <si>
    <t>lowerExtremityMuscleToneHipKneeRight</t>
  </si>
  <si>
    <t>lower extremity muscle tone - hip and knees - right</t>
  </si>
  <si>
    <t>lower_extremity_muscle_tone_hip_knee_right</t>
  </si>
  <si>
    <t>NF5HPKNR</t>
  </si>
  <si>
    <t>lowerExtremityMuscleToneHipKneeLeft</t>
  </si>
  <si>
    <t>lower extremity muscle tone - hip and knees - left</t>
  </si>
  <si>
    <t>lower_extremity_muscle_tone_hip_knee_left</t>
  </si>
  <si>
    <t>NF5HPKNL</t>
  </si>
  <si>
    <t>lowerExtremityMuscleToneAnkleRight</t>
  </si>
  <si>
    <t>lower extremity muscle tone - ankles - right</t>
  </si>
  <si>
    <t>lower_extremity_muscle_tone_ankle_right</t>
  </si>
  <si>
    <t>NF5ANKLR</t>
  </si>
  <si>
    <t>lowerExtremityMuscleToneAnkleLeft</t>
  </si>
  <si>
    <t>lower extremity muscle tone - ankles - left</t>
  </si>
  <si>
    <t>lower_extremity_muscle_tone_ankle_left</t>
  </si>
  <si>
    <t>NF5ANKLL</t>
  </si>
  <si>
    <t>scissoringLegs</t>
  </si>
  <si>
    <t>scissoring of the legs</t>
  </si>
  <si>
    <t>scissoring_legs</t>
  </si>
  <si>
    <t>NF5SCISS</t>
  </si>
  <si>
    <t>handPreference</t>
  </si>
  <si>
    <t>hand preference</t>
  </si>
  <si>
    <t>hand_preference</t>
  </si>
  <si>
    <t>NF5HNDPF</t>
  </si>
  <si>
    <t>protectiveReaction</t>
  </si>
  <si>
    <t>protective reactions</t>
  </si>
  <si>
    <t>protective_reaction</t>
  </si>
  <si>
    <t>NF5PRORF</t>
  </si>
  <si>
    <t>limbMovementUpperLimb</t>
  </si>
  <si>
    <t>limbMovement</t>
  </si>
  <si>
    <t>limb movements - upper limbs</t>
  </si>
  <si>
    <t>limb_movement_upper_limb</t>
  </si>
  <si>
    <t>NF5LMBUP</t>
  </si>
  <si>
    <t>limbMovementLowerLimb</t>
  </si>
  <si>
    <t>limb movements - lower limbs</t>
  </si>
  <si>
    <t>limb_movement_lower_limb</t>
  </si>
  <si>
    <t>NF5LMBLW</t>
  </si>
  <si>
    <t>deepTendonReflexUpperExtremityRight</t>
  </si>
  <si>
    <t>deepTendonReflex</t>
  </si>
  <si>
    <t>deep tendon reflexes - upper extremities - right</t>
  </si>
  <si>
    <t>deep_tendon_reflex_upper_extremity_right</t>
  </si>
  <si>
    <t>NF5UPRRT</t>
  </si>
  <si>
    <t>deepTendonReflexUpperExtremityLeft</t>
  </si>
  <si>
    <t>deep tendon reflexes - upper extremities - left</t>
  </si>
  <si>
    <t>deep_tendon_reflex_upper_extremity_left</t>
  </si>
  <si>
    <t>NF5UPRLT</t>
  </si>
  <si>
    <t>deepTendonReflexKneeRight</t>
  </si>
  <si>
    <t>deep tendon reflexes - knees - right</t>
  </si>
  <si>
    <t>deep_tendon_reflex_knee_right</t>
  </si>
  <si>
    <t>NF5KNERT</t>
  </si>
  <si>
    <t>deepTendonReflexKneeLeft</t>
  </si>
  <si>
    <t>deep tendon reflexes - knees - left</t>
  </si>
  <si>
    <t>deep_tendon_reflex_knee_left</t>
  </si>
  <si>
    <t>NF5KNELT</t>
  </si>
  <si>
    <t>deepTendonReflexAnkleRight</t>
  </si>
  <si>
    <t>deep tendon reflexes - ankles - right</t>
  </si>
  <si>
    <t>deep_tendon_reflex_ankle_right</t>
  </si>
  <si>
    <t>NF5AKLRT</t>
  </si>
  <si>
    <t>deepTendonReflexAnkleLeft</t>
  </si>
  <si>
    <t>deep tendon reflexes - ankles - left</t>
  </si>
  <si>
    <t>deep_tendon_reflex_ankle_left</t>
  </si>
  <si>
    <t>NF5AKLLT</t>
  </si>
  <si>
    <t>ankleClonusRight</t>
  </si>
  <si>
    <t>ankleClonus</t>
  </si>
  <si>
    <t>ankle clonus - right</t>
  </si>
  <si>
    <t>ankle_clonus_right</t>
  </si>
  <si>
    <t>NF5CLNRT</t>
  </si>
  <si>
    <t>ankleClonusLeft</t>
  </si>
  <si>
    <t>ankle clonus - left</t>
  </si>
  <si>
    <t>ankle_clonus_left</t>
  </si>
  <si>
    <t>NF5CLNLT</t>
  </si>
  <si>
    <t>plantarReflexRight</t>
  </si>
  <si>
    <t>plantarReflex</t>
  </si>
  <si>
    <t>plantar reflexes - right</t>
  </si>
  <si>
    <t>plantar_reflex_right</t>
  </si>
  <si>
    <t>NF5PLNRT</t>
  </si>
  <si>
    <t>plantarReflexLeft</t>
  </si>
  <si>
    <t>plantar reflexes - left</t>
  </si>
  <si>
    <t>plantar_reflex_left</t>
  </si>
  <si>
    <t>NF5PLNLT</t>
  </si>
  <si>
    <t>axisHeadNeck</t>
  </si>
  <si>
    <t>axis - head and neck</t>
  </si>
  <si>
    <t>axis_head_neck</t>
  </si>
  <si>
    <t>EFAXISHD</t>
  </si>
  <si>
    <t>axisTrunk</t>
  </si>
  <si>
    <t>axis - trunk</t>
  </si>
  <si>
    <t>axis_trunk</t>
  </si>
  <si>
    <t>EFAXTRNK</t>
  </si>
  <si>
    <t>lowerLimbFunction</t>
  </si>
  <si>
    <t>lower limb function-gait</t>
  </si>
  <si>
    <t>lower_limb_function</t>
  </si>
  <si>
    <t>EFLWRLMB</t>
  </si>
  <si>
    <t>upperLimbFunction</t>
  </si>
  <si>
    <t>upper limb function</t>
  </si>
  <si>
    <t>upper_limb_function</t>
  </si>
  <si>
    <t>EFUPRLMB</t>
  </si>
  <si>
    <t>handFunctionRight</t>
  </si>
  <si>
    <t>handFunction</t>
  </si>
  <si>
    <t>hand function - right</t>
  </si>
  <si>
    <t>hand_function_right</t>
  </si>
  <si>
    <t>EFRHAND</t>
  </si>
  <si>
    <t>handFunctionLeft</t>
  </si>
  <si>
    <t>hand function - left</t>
  </si>
  <si>
    <t>hand_function_left</t>
  </si>
  <si>
    <t>EFLHAND</t>
  </si>
  <si>
    <t>neuralNormal</t>
  </si>
  <si>
    <t>normal?</t>
  </si>
  <si>
    <t>neural_normal</t>
  </si>
  <si>
    <t>EFDGNORM</t>
  </si>
  <si>
    <t>generalizedHypotonia</t>
  </si>
  <si>
    <t>generalized hypotonia?</t>
  </si>
  <si>
    <t>generalized_hypotonia</t>
  </si>
  <si>
    <t>EFHYPOT</t>
  </si>
  <si>
    <t>hypertonia</t>
  </si>
  <si>
    <t>hypertonia?</t>
  </si>
  <si>
    <t>EFHYPERT</t>
  </si>
  <si>
    <t>neuralOther</t>
  </si>
  <si>
    <t>neural - other?</t>
  </si>
  <si>
    <t>neural_other</t>
  </si>
  <si>
    <t>EFOTHER</t>
  </si>
  <si>
    <t>neuralOtherText</t>
  </si>
  <si>
    <t>neural - other - specify</t>
  </si>
  <si>
    <t>neural_other_text</t>
  </si>
  <si>
    <t>NF5OCPSP</t>
  </si>
  <si>
    <t>spasticDiplegia</t>
  </si>
  <si>
    <t>spastic diplegia?</t>
  </si>
  <si>
    <t>spastic_diplegia</t>
  </si>
  <si>
    <t>EFDIPLEG</t>
  </si>
  <si>
    <t>spasticHemiplegiaRight</t>
  </si>
  <si>
    <t>spastic hemiplegia - right</t>
  </si>
  <si>
    <t>spastic_hemiplegia_right</t>
  </si>
  <si>
    <t>EFHEMRT</t>
  </si>
  <si>
    <t>spasticHemiplegiaLeft</t>
  </si>
  <si>
    <t>spastic hemiplegia - left</t>
  </si>
  <si>
    <t>spastic_hemiplegia_left</t>
  </si>
  <si>
    <t>EFHEMLT</t>
  </si>
  <si>
    <t>spasticQuadriplegia</t>
  </si>
  <si>
    <t>spastic quadriplegia</t>
  </si>
  <si>
    <t>spastic_quadriplegia</t>
  </si>
  <si>
    <t>EFQUADR</t>
  </si>
  <si>
    <t>spasticTriplegia</t>
  </si>
  <si>
    <t>spastic triplegia</t>
  </si>
  <si>
    <t>spastic_triplegia</t>
  </si>
  <si>
    <t>EFTRIPLE</t>
  </si>
  <si>
    <t>dystonia</t>
  </si>
  <si>
    <t>dystonia?</t>
  </si>
  <si>
    <t>OF5DYSTO</t>
  </si>
  <si>
    <t>athetosis</t>
  </si>
  <si>
    <t>athetosis?</t>
  </si>
  <si>
    <t>OF5ATCHA</t>
  </si>
  <si>
    <t>athetosisDystonia</t>
  </si>
  <si>
    <t>athetosis / dystonia with varying tone</t>
  </si>
  <si>
    <t>athetosis_dystonia</t>
  </si>
  <si>
    <t>EFATHETO</t>
  </si>
  <si>
    <t>hypotoniaAtaxia</t>
  </si>
  <si>
    <t>hypotonia with ataxia</t>
  </si>
  <si>
    <t>hypotonia_ataxia</t>
  </si>
  <si>
    <t>NF5HYPTN</t>
  </si>
  <si>
    <t>OF5ATAXI</t>
  </si>
  <si>
    <t>spasticMonoplegia</t>
  </si>
  <si>
    <t>spastic monoplegia</t>
  </si>
  <si>
    <t>spastic_monoplegia</t>
  </si>
  <si>
    <t>NF5MNPLG</t>
  </si>
  <si>
    <t>mixedCerebralPalsy</t>
  </si>
  <si>
    <t>mixed cerebral palsy</t>
  </si>
  <si>
    <t>mixed_cerebral_palsy</t>
  </si>
  <si>
    <t>NF5MXCP</t>
  </si>
  <si>
    <t>cerebralPalsyUnclassified</t>
  </si>
  <si>
    <t>cerebral palsy - unclassified</t>
  </si>
  <si>
    <t>cerebral_palsy_unclassified</t>
  </si>
  <si>
    <t>NF5CPUN</t>
  </si>
  <si>
    <t>OFCPUN</t>
  </si>
  <si>
    <t>cerebralPalsyUnclassifiedText</t>
  </si>
  <si>
    <t>cerebral palsy - unclassified - describe</t>
  </si>
  <si>
    <t>cerebral_palsy_unclassified_text</t>
  </si>
  <si>
    <t>NF5CPSP</t>
  </si>
  <si>
    <t>OFCPUNDE</t>
  </si>
  <si>
    <t>cerebralPalsy</t>
  </si>
  <si>
    <t>does this child have cerebral palsy?</t>
  </si>
  <si>
    <t>cerebral_palsy</t>
  </si>
  <si>
    <t>EFCERPAL</t>
  </si>
  <si>
    <t>OFCERPAL</t>
  </si>
  <si>
    <t>cerebralPalsyClass</t>
  </si>
  <si>
    <t>classification of cerebral palsy</t>
  </si>
  <si>
    <t>cerebral_palsy_class</t>
  </si>
  <si>
    <t>EFCERGR</t>
  </si>
  <si>
    <t>OFCLPAL</t>
  </si>
  <si>
    <t>abrnomalityAffectingNeuroAssessment</t>
  </si>
  <si>
    <t>congenital and/or acquired abnormalities affecting neurodevelopment assement?</t>
  </si>
  <si>
    <t>abrnomality_affecting_neuro_assessment</t>
  </si>
  <si>
    <t>EFCONGEN</t>
  </si>
  <si>
    <t>abrnomalityAffectingNeuroAssessmentText</t>
  </si>
  <si>
    <t>congenital and/or acquired abnormalities affecting neurodevelopment assement - specify</t>
  </si>
  <si>
    <t>abrnomality_affecting_neuro_assessment_text</t>
  </si>
  <si>
    <t>EFCONGSP</t>
  </si>
  <si>
    <t>examWhere</t>
  </si>
  <si>
    <t>where exam completing</t>
  </si>
  <si>
    <t>exam_where</t>
  </si>
  <si>
    <t>EFPLACE</t>
  </si>
  <si>
    <t>examWhereOtherText</t>
  </si>
  <si>
    <t>where exam completing - other -specify</t>
  </si>
  <si>
    <t>exam_where_other_text</t>
  </si>
  <si>
    <t>NF5LOCSP</t>
  </si>
  <si>
    <t>examQuality</t>
  </si>
  <si>
    <t>quality of the exam</t>
  </si>
  <si>
    <t>exam_quality</t>
  </si>
  <si>
    <t>NF5QUALT</t>
  </si>
  <si>
    <t>examFactorAffecting</t>
  </si>
  <si>
    <t>the factor affecting the exam</t>
  </si>
  <si>
    <t>exam_factor_affecting</t>
  </si>
  <si>
    <t>NF5FACTR</t>
  </si>
  <si>
    <t>examFactorAffectingText</t>
  </si>
  <si>
    <t>the factor affecting the exam - specify</t>
  </si>
  <si>
    <t>exam_factor_affecting_text</t>
  </si>
  <si>
    <t>NF5FACSP</t>
  </si>
  <si>
    <t>examCompleteDate</t>
  </si>
  <si>
    <t>date complete</t>
  </si>
  <si>
    <t>exam_complete_date</t>
  </si>
  <si>
    <t>EFCOMPDT</t>
  </si>
  <si>
    <t>initials completing the form</t>
  </si>
  <si>
    <t>EFINITS</t>
  </si>
  <si>
    <t>GMFCS</t>
  </si>
  <si>
    <t>grossMotorFunctionLevel</t>
  </si>
  <si>
    <t>gross motor function level</t>
  </si>
  <si>
    <t>gross_motor_function_level</t>
  </si>
  <si>
    <t>NF5GROSS</t>
  </si>
  <si>
    <t>Bayley-III</t>
  </si>
  <si>
    <t>BayleyIIICognitiveSubtest</t>
  </si>
  <si>
    <t>cognitive subtest?</t>
  </si>
  <si>
    <t>bayleyiii_cognitive_subtest</t>
  </si>
  <si>
    <t>NF9ACSU</t>
  </si>
  <si>
    <t>BayleyIIIReasonNoSuccessCognitiveSubtest</t>
  </si>
  <si>
    <t>BayleyIIIReasonNoSuccess</t>
  </si>
  <si>
    <t>reason not success cognitive subtest</t>
  </si>
  <si>
    <t>bayleyiii_reason_no_success_cognitive_subtest</t>
  </si>
  <si>
    <t>NF9ACSUR</t>
  </si>
  <si>
    <t>BayleyIIIReasonNoSuccessCognitiveSubtestText</t>
  </si>
  <si>
    <t>reason not success cognitive subtest - specify</t>
  </si>
  <si>
    <t>bayleyiii_reason_no_success_cognitive_subtest_text</t>
  </si>
  <si>
    <t>NF9ACSUS</t>
  </si>
  <si>
    <t>BayleyIIILanguageReceptiveSubtest</t>
  </si>
  <si>
    <t>language (receptive communication) subtest?</t>
  </si>
  <si>
    <t>bayleyiii_language_receptive_subtest</t>
  </si>
  <si>
    <t>NF9ALRC</t>
  </si>
  <si>
    <t>BayleyIIIReasonNoSuccessLanguageReceptiveSubtest</t>
  </si>
  <si>
    <t>reason not success language (receptive communication) subtest</t>
  </si>
  <si>
    <t>bayleyiii_reason_no_success_language_receptive_subtest</t>
  </si>
  <si>
    <t>NF9ALRCR</t>
  </si>
  <si>
    <t>BayleyIIIReasonNoSuccessLanguageReceptiveSubtestText</t>
  </si>
  <si>
    <t>reason not success language (receptive communication) subtest - specify</t>
  </si>
  <si>
    <t>bayleyiii_reason_no_success_language_receptive_subtest_text</t>
  </si>
  <si>
    <t>NF9ALRCS</t>
  </si>
  <si>
    <t>BayleyIIILanguageExpressiveSubtest</t>
  </si>
  <si>
    <t>language (expressive communication) subtest?</t>
  </si>
  <si>
    <t>bayleyiii_language_expressive_subtest</t>
  </si>
  <si>
    <t>NF9ALEC</t>
  </si>
  <si>
    <t>BayleyIIIReasonNoSuccessLanguageExpressiveSubtest</t>
  </si>
  <si>
    <t>reason not success language (expressive communication) subtest</t>
  </si>
  <si>
    <t>bayleyiii_reason_no_success_language_expressive_subtest</t>
  </si>
  <si>
    <t>NF9ALECR</t>
  </si>
  <si>
    <t>BayleyIIIReasonNoSuccessLanguageExpressiveSubtestText</t>
  </si>
  <si>
    <t>reason not success language (expressive communication) subtest - specify</t>
  </si>
  <si>
    <t>bayleyiii_reason_no_success_language_expressive_subtest_text</t>
  </si>
  <si>
    <t>NF9ALECS</t>
  </si>
  <si>
    <t>BayleyIIIMotorFineSubtest</t>
  </si>
  <si>
    <t>motor (fine) subtest</t>
  </si>
  <si>
    <t>bayleyiii_motor_fine_subtest</t>
  </si>
  <si>
    <t>NF9AMFN</t>
  </si>
  <si>
    <t>BayleyIIIReasonNoSuccessMotorFineSubtest</t>
  </si>
  <si>
    <t>reason not success motor (fine) subtest</t>
  </si>
  <si>
    <t>bayleyiii_reason_no_success_motor_fine_subtest</t>
  </si>
  <si>
    <t>NF9AMFNR</t>
  </si>
  <si>
    <t>BayleyIIIReasonNoSuccessMotorFineSubtestText</t>
  </si>
  <si>
    <t>reason not success motor (fine) subtest - specify</t>
  </si>
  <si>
    <t>bayleyiii_reason_no_success_motor_fine_subtest_text</t>
  </si>
  <si>
    <t>NF9AMFNS</t>
  </si>
  <si>
    <t>BayleyIIIMotorGrossSubtest</t>
  </si>
  <si>
    <t>motor (gross) subtest</t>
  </si>
  <si>
    <t>bayleyiii_motor_gross_subtest</t>
  </si>
  <si>
    <t>NF9AMGR</t>
  </si>
  <si>
    <t>BayleyIIIReasonNoSuccessMotorGrossSubtest</t>
  </si>
  <si>
    <t>reason not success motor (gross) subtest</t>
  </si>
  <si>
    <t>bayleyiii_reason_no_success_motor_gross_subtest</t>
  </si>
  <si>
    <t>NF9AMGRR</t>
  </si>
  <si>
    <t>BayleyIIIReasonNoSuccessMotorGrossSubtestText</t>
  </si>
  <si>
    <t>reason not success motor (gross) subtest - specify</t>
  </si>
  <si>
    <t>bayleyiii_reason_no_success_motor_gross_subtest_text</t>
  </si>
  <si>
    <t>NF9AMGRS</t>
  </si>
  <si>
    <t>BayleyIIIAdjustedAgeForCognitiveTest</t>
  </si>
  <si>
    <t>adjusted age for cognitive test</t>
  </si>
  <si>
    <t>bayleyiii_adjusted_age_for_cognitive_test</t>
  </si>
  <si>
    <t>NF9AAACS</t>
  </si>
  <si>
    <t>BayleyIIIAdjustedAgeForReceptiveCommunication</t>
  </si>
  <si>
    <t>adjusted age for receptive communication</t>
  </si>
  <si>
    <t>bayleyiii_adjusted_age_for_receptive_communication</t>
  </si>
  <si>
    <t>NF9AAARC</t>
  </si>
  <si>
    <t>BayleyIIIAdjustedAgeForExpressiveCommunication</t>
  </si>
  <si>
    <t>adjusted age for expressive communication</t>
  </si>
  <si>
    <t>bayleyiii_adjusted_age_for_expressive_communication</t>
  </si>
  <si>
    <t>NF9AAAEC</t>
  </si>
  <si>
    <t>BayleyIIIAdjustedAgeForMotorFineSubtest</t>
  </si>
  <si>
    <t>adjusted age for motor (fine) subtest</t>
  </si>
  <si>
    <t>bayleyiii_adjusted_age_for_motor_fine_subtest</t>
  </si>
  <si>
    <t>NF9AAAMF</t>
  </si>
  <si>
    <t>BayleyIIIAdjustedAgeForMotorGrossSubtest</t>
  </si>
  <si>
    <t>adjusted age for motor (gross) subtest</t>
  </si>
  <si>
    <t>bayleyiii_adjusted_age_for_motor_gross_subtest</t>
  </si>
  <si>
    <t>NF9AAAMG</t>
  </si>
  <si>
    <t>BayleyIIICognitiveRaw</t>
  </si>
  <si>
    <t>cognitive - raw</t>
  </si>
  <si>
    <t>bayleyiii_cognitive_raw</t>
  </si>
  <si>
    <t>NF9ABSCR</t>
  </si>
  <si>
    <t>BayleyIIICognitiveScale</t>
  </si>
  <si>
    <t>cognitive - scaled score</t>
  </si>
  <si>
    <t>bayleyiii_cognitive_scale</t>
  </si>
  <si>
    <t>NF9ABSCS</t>
  </si>
  <si>
    <t>BayleyIIICognitiveComposite</t>
  </si>
  <si>
    <t>cognitive composite score</t>
  </si>
  <si>
    <t>bayleyiii_cognitive_composite</t>
  </si>
  <si>
    <t>NF9ABSCC</t>
  </si>
  <si>
    <t>BayleyIIIReceptiveRaw</t>
  </si>
  <si>
    <t>receptive - raw</t>
  </si>
  <si>
    <t>bayleyiii_receptive_raw</t>
  </si>
  <si>
    <t>NF9ABSRR</t>
  </si>
  <si>
    <t>BayleyIIIReceptiveScale</t>
  </si>
  <si>
    <t>receptive - scaled score</t>
  </si>
  <si>
    <t>bayleyiii_receptive_scale</t>
  </si>
  <si>
    <t>NF9ABSRS</t>
  </si>
  <si>
    <t>BayleyIIIExpressiveRaw</t>
  </si>
  <si>
    <t>expressive - raw</t>
  </si>
  <si>
    <t>bayleyiii_expressive_raw</t>
  </si>
  <si>
    <t>NF9ABSER</t>
  </si>
  <si>
    <t>BayleyIIIExpressiveScale</t>
  </si>
  <si>
    <t>expressive - scaled score</t>
  </si>
  <si>
    <t>bayleyiii_expressive_scale</t>
  </si>
  <si>
    <t>NF9ABSES</t>
  </si>
  <si>
    <t>BayleyIIISumLanguageScore</t>
  </si>
  <si>
    <t>summed language score</t>
  </si>
  <si>
    <t>bayleyiii_sum_language_score</t>
  </si>
  <si>
    <t>NF9ABSLS</t>
  </si>
  <si>
    <t>BayleyIIILanguageComposite</t>
  </si>
  <si>
    <t>language composite</t>
  </si>
  <si>
    <t>bayleyiii_language_composite</t>
  </si>
  <si>
    <t>NF9ABSLC</t>
  </si>
  <si>
    <t>BayleyIIIMotorFineRaw</t>
  </si>
  <si>
    <t>fine motor - raw</t>
  </si>
  <si>
    <t>bayleyiii_motor_fine_raw</t>
  </si>
  <si>
    <t>NF9AMFRW</t>
  </si>
  <si>
    <t>BayleyIIIMotorFineScale</t>
  </si>
  <si>
    <t>fine motor - scaled score</t>
  </si>
  <si>
    <t>bayleyiii_motor_fine_scale</t>
  </si>
  <si>
    <t>NF9AMFSS</t>
  </si>
  <si>
    <t>BayleyIIIMotorGrossRaw</t>
  </si>
  <si>
    <t>gross motor - raw</t>
  </si>
  <si>
    <t>bayleyiii_motor_gross_raw</t>
  </si>
  <si>
    <t>NF9AMGRW</t>
  </si>
  <si>
    <t>BayleyIIIMotorGrossScale</t>
  </si>
  <si>
    <t>gross motor - scaled score</t>
  </si>
  <si>
    <t>bayleyiii_motor_gross_scale</t>
  </si>
  <si>
    <t>NF9AMGSS</t>
  </si>
  <si>
    <t>BayleyIIISumMotorScore</t>
  </si>
  <si>
    <t>summed motor score</t>
  </si>
  <si>
    <t>bayleyiii_sum_motor_score</t>
  </si>
  <si>
    <t>NF9AMGSM</t>
  </si>
  <si>
    <t>BayleyIIIMotorComposite</t>
  </si>
  <si>
    <t>motor composite</t>
  </si>
  <si>
    <t>bayleyiii_motor_composite</t>
  </si>
  <si>
    <t>NF9AMCMP</t>
  </si>
  <si>
    <t>BayleyIIIInEnglish</t>
  </si>
  <si>
    <t>was the Bayley exam conducted in English?</t>
  </si>
  <si>
    <t>bayleyiii_in_english</t>
  </si>
  <si>
    <t>NF9ABSEN</t>
  </si>
  <si>
    <t>BayleyIIIRequireInterpreter</t>
  </si>
  <si>
    <t>was an interpreter required?</t>
  </si>
  <si>
    <t>bayleyiii_require_interpreter</t>
  </si>
  <si>
    <t>NF9ABSIN</t>
  </si>
  <si>
    <t>BayleyIIIAdministratorMaskedToChildHistory</t>
  </si>
  <si>
    <t>was the Bayley administrator masked to the child's medical history?</t>
  </si>
  <si>
    <t>bayleyiii_administrator_masked_to_child_history</t>
  </si>
  <si>
    <t>NF9ABSMK</t>
  </si>
  <si>
    <t>BayleyIIIWhere</t>
  </si>
  <si>
    <t>where</t>
  </si>
  <si>
    <t>bayleyiii_where</t>
  </si>
  <si>
    <t>NF9AWEC</t>
  </si>
  <si>
    <t>BayleyIIIDate</t>
  </si>
  <si>
    <t>Date of Bayley-III</t>
  </si>
  <si>
    <t>bayleyiii_date</t>
  </si>
  <si>
    <t>NF9ADATE</t>
  </si>
  <si>
    <t>Readmission</t>
  </si>
  <si>
    <t>date of discharge</t>
  </si>
  <si>
    <t>DFDISDT</t>
  </si>
  <si>
    <t>birthdate</t>
  </si>
  <si>
    <t>date of first birthday</t>
  </si>
  <si>
    <t>DFBRDYDT</t>
  </si>
  <si>
    <t>readmissionNumber</t>
  </si>
  <si>
    <t>readmission number</t>
  </si>
  <si>
    <t>readmission_number</t>
  </si>
  <si>
    <t>DFREADNM</t>
  </si>
  <si>
    <t>readmissionTimePeriod</t>
  </si>
  <si>
    <t>time period</t>
  </si>
  <si>
    <t>readmission_time_period</t>
  </si>
  <si>
    <t>DFTIMEA</t>
  </si>
  <si>
    <t>readmissionPrimaryCause</t>
  </si>
  <si>
    <t>primary cause</t>
  </si>
  <si>
    <t>readmission_primary_cause</t>
  </si>
  <si>
    <t>DFCAUSE</t>
  </si>
  <si>
    <t>readmissionPrimaryCauseOtherText</t>
  </si>
  <si>
    <t>primary cause: other - specify</t>
  </si>
  <si>
    <t>readmission_primary_cause_other_text</t>
  </si>
  <si>
    <t>NF4AROTS</t>
  </si>
  <si>
    <t>readmissionLengthOfStay</t>
  </si>
  <si>
    <t>length of hospital stay</t>
  </si>
  <si>
    <t>readmission_length_of_stay</t>
  </si>
  <si>
    <t>OFLENOHS</t>
  </si>
  <si>
    <t>readmissionICU</t>
  </si>
  <si>
    <t>spend any time in ICU?</t>
  </si>
  <si>
    <t>readmission_icu</t>
  </si>
  <si>
    <t>OFTIMICU</t>
  </si>
  <si>
    <t>readmissionInterviewWhere</t>
  </si>
  <si>
    <t>form completion - where was interview conducted</t>
  </si>
  <si>
    <t>readmission_interview_where</t>
  </si>
  <si>
    <t>DFPLACEA</t>
  </si>
  <si>
    <t>readmissionDateObtain</t>
  </si>
  <si>
    <t>form completion - date readmission information obtained</t>
  </si>
  <si>
    <t>readmission_date_obtain</t>
  </si>
  <si>
    <t>DFCMPDTA</t>
  </si>
  <si>
    <t>form completion - initials</t>
  </si>
  <si>
    <t>DFINITSA</t>
  </si>
  <si>
    <t>statusVisitDate</t>
  </si>
  <si>
    <t>status_visit_date</t>
  </si>
  <si>
    <t>NF10VSDT</t>
  </si>
  <si>
    <t>statusBirthDate</t>
  </si>
  <si>
    <t>status_birth_date</t>
  </si>
  <si>
    <t>JFBRTDT</t>
  </si>
  <si>
    <t>childFinalStatus</t>
  </si>
  <si>
    <t>followupStatus</t>
  </si>
  <si>
    <t>final status of the child</t>
  </si>
  <si>
    <t>child_final_status</t>
  </si>
  <si>
    <t>JFSTATUS</t>
  </si>
  <si>
    <t>JFDTHDT</t>
  </si>
  <si>
    <t>OFCAUSOD</t>
  </si>
  <si>
    <t>reasonLossFollowUp</t>
  </si>
  <si>
    <t>loss to follow-up: reason</t>
  </si>
  <si>
    <t>reason_loss_follow_up</t>
  </si>
  <si>
    <t>JFREASN</t>
  </si>
  <si>
    <t>firstVisitDate</t>
  </si>
  <si>
    <t>date of first visit</t>
  </si>
  <si>
    <t>first_visit_date</t>
  </si>
  <si>
    <t>KFFSTDT</t>
  </si>
  <si>
    <t>finalVisitDate</t>
  </si>
  <si>
    <t>date of final visit</t>
  </si>
  <si>
    <t>final_visit_date</t>
  </si>
  <si>
    <t>KFSECDT</t>
  </si>
  <si>
    <t>final outcome log</t>
  </si>
  <si>
    <t>KFSESDIS</t>
  </si>
  <si>
    <t>SES at 18+4 mo?</t>
  </si>
  <si>
    <t>KFSES18</t>
  </si>
  <si>
    <t>medical history form?</t>
  </si>
  <si>
    <t>KFMEDHIS</t>
  </si>
  <si>
    <t>readmission form?</t>
  </si>
  <si>
    <t>KFREADM</t>
  </si>
  <si>
    <t>child exam form?</t>
  </si>
  <si>
    <t>KFINFEXM</t>
  </si>
  <si>
    <t>Bayley III score form?</t>
  </si>
  <si>
    <t>KFBAYLE3</t>
  </si>
  <si>
    <t>status form?</t>
  </si>
  <si>
    <t>KFSTATFM</t>
  </si>
  <si>
    <t>lost-to-follow-up questionnaire?</t>
  </si>
  <si>
    <t>KFLOSTFM</t>
  </si>
  <si>
    <t>Lost Followup</t>
  </si>
  <si>
    <t>lostFollowUpInformationAvailableIndirectSrc</t>
  </si>
  <si>
    <t>is information available for this child from indirect source?</t>
  </si>
  <si>
    <t>lost_follow_up_information_available_indirect_src</t>
  </si>
  <si>
    <t>LFOSOURC</t>
  </si>
  <si>
    <t>lostFollowUpLastContactDate</t>
  </si>
  <si>
    <t>date of last contact</t>
  </si>
  <si>
    <t>lost_follow_up_last_contact_date</t>
  </si>
  <si>
    <t>LFCONTDT</t>
  </si>
  <si>
    <t>lostFollowUpFormCompleteDate</t>
  </si>
  <si>
    <t>date of form completed</t>
  </si>
  <si>
    <t>lost_follow_up_form_complete_date</t>
  </si>
  <si>
    <t>LFCOMPDT</t>
  </si>
  <si>
    <t>lostFollowUpChildAlive</t>
  </si>
  <si>
    <t>is child alive?</t>
  </si>
  <si>
    <t>lost_follow_up_child_alive</t>
  </si>
  <si>
    <t>LFALIVE</t>
  </si>
  <si>
    <t>lostFollowUpLastKnownAliveCorrectedAge_mo</t>
  </si>
  <si>
    <t>yes - corrected age last known to be alive</t>
  </si>
  <si>
    <t>lost_follow_up_last_known_alive_corrected_age_mo</t>
  </si>
  <si>
    <t>LFADJAGE</t>
  </si>
  <si>
    <t>lostFollowUpDeathDate</t>
  </si>
  <si>
    <t>no - date of death</t>
  </si>
  <si>
    <t>lost_follow_up_death_date</t>
  </si>
  <si>
    <t>LFDTHDT</t>
  </si>
  <si>
    <t>lostFollowUpInterview</t>
  </si>
  <si>
    <t>caretaker interview</t>
  </si>
  <si>
    <t>lost_follow_up_interview</t>
  </si>
  <si>
    <t>LFINTERV</t>
  </si>
  <si>
    <t>lostFollowUpInterviewDate</t>
  </si>
  <si>
    <t>date of interview</t>
  </si>
  <si>
    <t>lost_follow_up_interview_date</t>
  </si>
  <si>
    <t>LFINTDT</t>
  </si>
  <si>
    <t>lostFollowUpInterviewCorrectedAge_mo</t>
  </si>
  <si>
    <t>corrected age of the child at the time of interview</t>
  </si>
  <si>
    <t>lost_follow_up_interview_corrected_age_mo</t>
  </si>
  <si>
    <t>LFINTAGE</t>
  </si>
  <si>
    <t>lostFollowUpAnyQuestionCompleteChartReview</t>
  </si>
  <si>
    <t>were any question completed from chart review?</t>
  </si>
  <si>
    <t>lost_follow_up_any_question_complete_chart_review</t>
  </si>
  <si>
    <t>LFCHART2</t>
  </si>
  <si>
    <t>lostFollowUpChartReviewDate</t>
  </si>
  <si>
    <t>date of chart review</t>
  </si>
  <si>
    <t>lost_follow_up_chart_review_date</t>
  </si>
  <si>
    <t>LFCHARDT</t>
  </si>
  <si>
    <t>lostFollowUpChartReviewCorrectedAge_mo</t>
  </si>
  <si>
    <t>corrected age of the child at the time of chart review</t>
  </si>
  <si>
    <t>lost_follow_up_chart_review_corrected_age_mo</t>
  </si>
  <si>
    <t>LFCHARAG</t>
  </si>
  <si>
    <t>interviewChildHealth</t>
  </si>
  <si>
    <t>childHealth</t>
  </si>
  <si>
    <t>child's health</t>
  </si>
  <si>
    <t>interview_child_health</t>
  </si>
  <si>
    <t>LFHEALTH</t>
  </si>
  <si>
    <t>interviewWalkAlone</t>
  </si>
  <si>
    <t>walking alone?</t>
  </si>
  <si>
    <t>interview_walk_alone</t>
  </si>
  <si>
    <t>LFWALK</t>
  </si>
  <si>
    <t>interviewWalkAloneAge_mo</t>
  </si>
  <si>
    <t>what age did child start walking independently?</t>
  </si>
  <si>
    <t>interview_walk_alone_age_mo</t>
  </si>
  <si>
    <t>LFWKAGE</t>
  </si>
  <si>
    <t>interviewSittingAlong</t>
  </si>
  <si>
    <t>sitting along without support?</t>
  </si>
  <si>
    <t>interview_sitting_along</t>
  </si>
  <si>
    <t>LFSITTIN</t>
  </si>
  <si>
    <t>interviewHeadControl</t>
  </si>
  <si>
    <t>have head control?</t>
  </si>
  <si>
    <t>interview_head_control</t>
  </si>
  <si>
    <t>LFHEAD</t>
  </si>
  <si>
    <t>interviewSee</t>
  </si>
  <si>
    <t>see?</t>
  </si>
  <si>
    <t>interview_see</t>
  </si>
  <si>
    <t>LFSEE</t>
  </si>
  <si>
    <t>interviewEyeExam</t>
  </si>
  <si>
    <t>had an eye exam since initial discharge?</t>
  </si>
  <si>
    <t>interview_eye_exam</t>
  </si>
  <si>
    <t>LFEYEQ</t>
  </si>
  <si>
    <t>interviewNeedWearGlasses</t>
  </si>
  <si>
    <t>need or wear glasses?</t>
  </si>
  <si>
    <t>interview_need_wear_glasses</t>
  </si>
  <si>
    <t>NF12GLAS</t>
  </si>
  <si>
    <t>interviewHear</t>
  </si>
  <si>
    <t>hear?</t>
  </si>
  <si>
    <t>interview_hear</t>
  </si>
  <si>
    <t>LFHEAR</t>
  </si>
  <si>
    <t>interviewHearExam</t>
  </si>
  <si>
    <t>had a hear exam since initial discharge?</t>
  </si>
  <si>
    <t>interview_hear_exam</t>
  </si>
  <si>
    <t>LFHEARQ</t>
  </si>
  <si>
    <t>interviewNeedWearHearingAid</t>
  </si>
  <si>
    <t>need or wear a hearing aid(s)?</t>
  </si>
  <si>
    <t>interview_need_wear_hearing_aid</t>
  </si>
  <si>
    <t>LFHEAIDQ</t>
  </si>
  <si>
    <t>interviewNumberWordVocabulary</t>
  </si>
  <si>
    <t>estimate number of words in child's vocabulary</t>
  </si>
  <si>
    <t>interview_number_word_vocabulary</t>
  </si>
  <si>
    <t>NF12NMWD</t>
  </si>
  <si>
    <t>interviewCombine2Words</t>
  </si>
  <si>
    <t>combine 2 words?</t>
  </si>
  <si>
    <t>interview_combine2words</t>
  </si>
  <si>
    <t>NF12C2WD</t>
  </si>
  <si>
    <t>interviewCombine3Words</t>
  </si>
  <si>
    <t>combine 3 words?</t>
  </si>
  <si>
    <t>interview_combine3words</t>
  </si>
  <si>
    <t>NF12C3WD</t>
  </si>
  <si>
    <t>interviewHydrocephalusShunt</t>
  </si>
  <si>
    <t>hydrocephalus treated with a shunt?</t>
  </si>
  <si>
    <t>interview_hydrocephalus_shunt</t>
  </si>
  <si>
    <t>LFHYDROQ</t>
  </si>
  <si>
    <t>interviewCerebralPalsy</t>
  </si>
  <si>
    <t>cerebral palsy?</t>
  </si>
  <si>
    <t>interview_cerebral_palsy</t>
  </si>
  <si>
    <t>LFCPQ</t>
  </si>
  <si>
    <t>interviewDevelopmentalDelay</t>
  </si>
  <si>
    <t>developmental delay?</t>
  </si>
  <si>
    <t>interview_developmental_delay</t>
  </si>
  <si>
    <t>LFDEVDQ</t>
  </si>
  <si>
    <t>interviewLanguageDelay</t>
  </si>
  <si>
    <t>language delay?</t>
  </si>
  <si>
    <t>interview_language_delay</t>
  </si>
  <si>
    <t>LFLANDQ</t>
  </si>
  <si>
    <t>interviewPoorWeightGain</t>
  </si>
  <si>
    <t>poor weight gain?</t>
  </si>
  <si>
    <t>interview_poor_weight_gain</t>
  </si>
  <si>
    <t>LFWEIGHQ</t>
  </si>
  <si>
    <t>interviewSeizure</t>
  </si>
  <si>
    <t>seizures since discharge?</t>
  </si>
  <si>
    <t>interview_seizure</t>
  </si>
  <si>
    <t>LFSEIZUQ</t>
  </si>
  <si>
    <t>interviewBlindness</t>
  </si>
  <si>
    <t>blindness?</t>
  </si>
  <si>
    <t>interview_blindness</t>
  </si>
  <si>
    <t>LFBLINDQ</t>
  </si>
  <si>
    <t>interviewOtherBehaviorProblem</t>
  </si>
  <si>
    <t>other behavior problems?</t>
  </si>
  <si>
    <t>interview_other_behavior_problem</t>
  </si>
  <si>
    <t>NF12BHPB</t>
  </si>
  <si>
    <t>interviewOtherBehaviorProblemText</t>
  </si>
  <si>
    <t>other behavior problems - specify</t>
  </si>
  <si>
    <t>interview_other_behavior_problem_text</t>
  </si>
  <si>
    <t>NF12BHDS</t>
  </si>
  <si>
    <t>interviewOtherMajorMedicalProblem</t>
  </si>
  <si>
    <t>other major medical problems?</t>
  </si>
  <si>
    <t>interview_other_major_medical_problem</t>
  </si>
  <si>
    <t>NF12MDPB</t>
  </si>
  <si>
    <t>interviewOtherMajorMedicalProblemText</t>
  </si>
  <si>
    <t>other major medical problems - specify</t>
  </si>
  <si>
    <t>interview_other_major_medical_problem_text</t>
  </si>
  <si>
    <t>NF12MDDS</t>
  </si>
  <si>
    <t>interviewOtherNeuraldevelopmentalProblem</t>
  </si>
  <si>
    <t>other neuraldevelopmental problems?</t>
  </si>
  <si>
    <t>interview_other_neuraldevelopmental_problem</t>
  </si>
  <si>
    <t>NF12NRPB</t>
  </si>
  <si>
    <t>interviewOtherNeuraldevelopmentalProblemText</t>
  </si>
  <si>
    <t>other neuraldevelopmental problems - specify</t>
  </si>
  <si>
    <t>interview_other_neuraldevelopmental_problem_text</t>
  </si>
  <si>
    <t>NF12NRDS</t>
  </si>
  <si>
    <t>interviewMotorGrossFunctionLevel</t>
  </si>
  <si>
    <t>gross motor function level from caretaker interview</t>
  </si>
  <si>
    <t>interview_motor_gross_function_level</t>
  </si>
  <si>
    <t>OF12GMFL</t>
  </si>
  <si>
    <t>chartReviewEyeExam</t>
  </si>
  <si>
    <t>chartReview</t>
  </si>
  <si>
    <t>eye exam since initial discharge?</t>
  </si>
  <si>
    <t>chart_review_eye_exam</t>
  </si>
  <si>
    <t>LFEYEC</t>
  </si>
  <si>
    <t>chartReviewHearingExam</t>
  </si>
  <si>
    <t>hearing exam since initial discharge?</t>
  </si>
  <si>
    <t>chart_review_hearing_exam</t>
  </si>
  <si>
    <t>LFHEARC</t>
  </si>
  <si>
    <t>chartReviewNeedWearHearingAid</t>
  </si>
  <si>
    <t>chart_review_need_wear_hearing_aid</t>
  </si>
  <si>
    <t>LFHEAIDC</t>
  </si>
  <si>
    <t>chartReviewHydrocephalusShunt</t>
  </si>
  <si>
    <t>chart_review_hydrocephalus_shunt</t>
  </si>
  <si>
    <t>LFHYDROC</t>
  </si>
  <si>
    <t>chartReviewCerebralPalsy</t>
  </si>
  <si>
    <t>chart_review_cerebral_palsy</t>
  </si>
  <si>
    <t>LFCPC</t>
  </si>
  <si>
    <t>chartReviewDevelopmentalDelay</t>
  </si>
  <si>
    <t>chart_review_developmental_delay</t>
  </si>
  <si>
    <t>LFDEVDEC</t>
  </si>
  <si>
    <t>chartReviewLanguageDelay</t>
  </si>
  <si>
    <t>chart_review_language_delay</t>
  </si>
  <si>
    <t>LFLANDEC</t>
  </si>
  <si>
    <t>chartReviewPoorWeightGain</t>
  </si>
  <si>
    <t>chart_review_poor_weight_gain</t>
  </si>
  <si>
    <t>LFWEIGHC</t>
  </si>
  <si>
    <t>chartReviewSeizure</t>
  </si>
  <si>
    <t>chart_review_seizure</t>
  </si>
  <si>
    <t>LFSEIZUC</t>
  </si>
  <si>
    <t>chartReviewBlindness</t>
  </si>
  <si>
    <t>chart_review_blindness</t>
  </si>
  <si>
    <t>NF12BLND</t>
  </si>
  <si>
    <t>chartReviewOtherBehaviorProblem</t>
  </si>
  <si>
    <t>chart_review_other_behavior_problem</t>
  </si>
  <si>
    <t>NF12CHBH</t>
  </si>
  <si>
    <t>chartReviewOtherBehaviorProblemText</t>
  </si>
  <si>
    <t>chart_review_other_behavior_problem_text</t>
  </si>
  <si>
    <t>NF12CHBD</t>
  </si>
  <si>
    <t>chartReviewOtherMajorMedicalProblem</t>
  </si>
  <si>
    <t>chart_review_other_major_medical_problem</t>
  </si>
  <si>
    <t>NF12CHMM</t>
  </si>
  <si>
    <t>chartReviewOtherMajorMedicalProblemText</t>
  </si>
  <si>
    <t>chart_review_other_major_medical_problem_text</t>
  </si>
  <si>
    <t>NF12CHMD</t>
  </si>
  <si>
    <t>chartReviewOtherNeuraldevelopmentalProblem</t>
  </si>
  <si>
    <t>chart_review_other_neuraldevelopmental_problem</t>
  </si>
  <si>
    <t>NF12CHNR</t>
  </si>
  <si>
    <t>chartReviewOtherNeuraldevelopmentalProblemText</t>
  </si>
  <si>
    <t>chart_review_other_neuraldevelopmental_problem_text</t>
  </si>
  <si>
    <t>NF12CHND</t>
  </si>
  <si>
    <t>chartReviewMotorGrossFunctionLevel</t>
  </si>
  <si>
    <t>gross motor function level from chart review</t>
  </si>
  <si>
    <t>chart_review_motor_gross_function_level</t>
  </si>
  <si>
    <t>OF12CHGM</t>
  </si>
  <si>
    <t>Secondary</t>
  </si>
  <si>
    <t>blindness</t>
  </si>
  <si>
    <t>Blindness</t>
  </si>
  <si>
    <t>moderateSevereCerebralPalsy</t>
  </si>
  <si>
    <t>Moderate-severe cerebral palsy</t>
  </si>
  <si>
    <t>moderate_severe_cerebral_palsy</t>
  </si>
  <si>
    <t>modsevcp</t>
  </si>
  <si>
    <t>cerebralPalsyMerge</t>
  </si>
  <si>
    <t>Cerebral palsy (any)</t>
  </si>
  <si>
    <t>cerebral_palsy_merge</t>
  </si>
  <si>
    <t>cp_out</t>
  </si>
  <si>
    <t>gastrostomyTube_b</t>
  </si>
  <si>
    <t>Gastrostomy or tube feedings</t>
  </si>
  <si>
    <t>gastrostomy_tube_b</t>
  </si>
  <si>
    <t>gas_tube</t>
  </si>
  <si>
    <t>grossMotorFunctionLevelSeverity</t>
  </si>
  <si>
    <t>severity</t>
  </si>
  <si>
    <t>Gross motor function: normal (0-1), moderate (2), severe (3-5)</t>
  </si>
  <si>
    <t>gross_motor_function_level_severity</t>
  </si>
  <si>
    <t>gross</t>
  </si>
  <si>
    <t>hearingImpairedWithAid</t>
  </si>
  <si>
    <t>Hearing impaired with aids</t>
  </si>
  <si>
    <t>hearing_impaired_with_aid</t>
  </si>
  <si>
    <t>hear_imp</t>
  </si>
  <si>
    <t>hearingImpairedLevel</t>
  </si>
  <si>
    <t>Level of hearing impairment: normal, moderate (unimpaired with aids), severe (impaired)</t>
  </si>
  <si>
    <t>hearing_impaired_level</t>
  </si>
  <si>
    <t>multipleImpairment</t>
  </si>
  <si>
    <t>Multiple impairments</t>
  </si>
  <si>
    <t>multiple_impairment</t>
  </si>
  <si>
    <t>mult_imp</t>
  </si>
  <si>
    <t>afterDischargeSeizure</t>
  </si>
  <si>
    <t>Seizures after discharge</t>
  </si>
  <si>
    <t>after_discharge_seizure</t>
  </si>
  <si>
    <t>seiz_fu</t>
  </si>
  <si>
    <t>Outcome</t>
  </si>
  <si>
    <t>flagAdjudicatedOutcome</t>
  </si>
  <si>
    <t>Flag for adjudicated outcome(s)</t>
  </si>
  <si>
    <t>flag_adjudicated_outcome</t>
  </si>
  <si>
    <t>adjudicate</t>
  </si>
  <si>
    <t>normalPrimaryOutcome</t>
  </si>
  <si>
    <t>Normal for primary outcome</t>
  </si>
  <si>
    <t>normal_primary_outcome</t>
  </si>
  <si>
    <t>all_norm</t>
  </si>
  <si>
    <t>BayleyIIILanguage</t>
  </si>
  <si>
    <t>Bayley 3 language score: Normal (85+), moderate (70-84), severe (&lt;70)</t>
  </si>
  <si>
    <t>bayleyiii_language</t>
  </si>
  <si>
    <t>b3_lang</t>
  </si>
  <si>
    <t>BayleyIIIMotor</t>
  </si>
  <si>
    <t>Bayley 3 motor score: Normal (85+), moderate (70-84), severe (&lt;70)</t>
  </si>
  <si>
    <t>bayleyiii_motor</t>
  </si>
  <si>
    <t>b3_motor</t>
  </si>
  <si>
    <t>BayleyIIICognitive</t>
  </si>
  <si>
    <t>Bayley 3 cognitive score: Normal (85+), moderate (70-84), severe (&lt;70)</t>
  </si>
  <si>
    <t>bayleyiii_cognitive</t>
  </si>
  <si>
    <t>bayley3</t>
  </si>
  <si>
    <t>deathBeforeFollowup</t>
  </si>
  <si>
    <t>Death before follow-up</t>
  </si>
  <si>
    <t>death_before_followup</t>
  </si>
  <si>
    <t>death18</t>
  </si>
  <si>
    <t>deathBeforeDischarge</t>
  </si>
  <si>
    <t>Death prior to d/c or 6 months</t>
  </si>
  <si>
    <t>death_before_discharge</t>
  </si>
  <si>
    <t>hosp_die</t>
  </si>
  <si>
    <t>disabilityLevelSurvivor</t>
  </si>
  <si>
    <t>Level of disability among survivors</t>
  </si>
  <si>
    <t>disability_level_survivor</t>
  </si>
  <si>
    <t>disab_4</t>
  </si>
  <si>
    <t>disabilityLevelDeath4Category</t>
  </si>
  <si>
    <t>Level of disability (death included in severe)</t>
  </si>
  <si>
    <t>disability_level_death_4_category</t>
  </si>
  <si>
    <t>disab_die4</t>
  </si>
  <si>
    <t>moderateSevereDisabilityOrDeath</t>
  </si>
  <si>
    <t>Moderate-severe disability or death</t>
  </si>
  <si>
    <t>moderate_severe_disability_or_death</t>
  </si>
  <si>
    <t>disab_die</t>
  </si>
  <si>
    <t>moderateSevereDisabilitySurvivor</t>
  </si>
  <si>
    <t>Moderate-severe disability among survivors</t>
  </si>
  <si>
    <t>moderate_severe_disability_survivor</t>
  </si>
  <si>
    <t>disab_ms</t>
  </si>
  <si>
    <t>disabilityLevelDeath</t>
  </si>
  <si>
    <t>Level of disability (death as an independent category)</t>
  </si>
  <si>
    <t>disability_level_death</t>
  </si>
  <si>
    <t>compute from disabilityLevel and deathBeforeFollowup</t>
  </si>
  <si>
    <t>outcomeGroup</t>
  </si>
  <si>
    <t>Outcome group (death or primary outcome)</t>
  </si>
  <si>
    <t>outcome_group</t>
  </si>
  <si>
    <t>out_grp</t>
  </si>
  <si>
    <t>no.</t>
  </si>
  <si>
    <t>symbol</t>
  </si>
  <si>
    <t>rule</t>
  </si>
  <si>
    <t>decision</t>
  </si>
  <si>
    <t>example</t>
  </si>
  <si>
    <t>variable</t>
  </si>
  <si>
    <t>camelCase</t>
  </si>
  <si>
    <t>boolean</t>
  </si>
  <si>
    <t>use "type" to determine, no prefix/postfix unless necessary.</t>
  </si>
  <si>
    <t>wasSeizure/isSeizure</t>
  </si>
  <si>
    <t>around 50% of columns are Boolean, 20% of columns are numbers, 20% of columns are ordinal / nominal, 5% of columns are text, 5% of columns are date/time, Boolean variables allow unknown, NA, suspected, permanent missing, temporary missing, missing as blank</t>
  </si>
  <si>
    <t>text and number</t>
  </si>
  <si>
    <t>No postfix for variable name containing:
number
date
time
comment
reason
status
assignment
specify/specific
circumference
weight
age
length
score
Apgar
desc
Otherwise, Text as postfix</t>
  </si>
  <si>
    <t>&lt;, &lt;=, &gt;, &gt;=</t>
  </si>
  <si>
    <t>use less / lessEq / greater / greaterEq for targeting main value</t>
  </si>
  <si>
    <t>postnatalAgeLess6HrOrGreater24Hr</t>
  </si>
  <si>
    <t>floating point number</t>
  </si>
  <si>
    <t>p</t>
  </si>
  <si>
    <t>coreTempLess32p5CGreaterEq2Hr</t>
  </si>
  <si>
    <t>plural</t>
  </si>
  <si>
    <t>remove plural unless necessary</t>
  </si>
  <si>
    <t>remove plural unless necessary
(pupils)</t>
  </si>
  <si>
    <t>"the"</t>
  </si>
  <si>
    <t>remove "the" unless necessary</t>
  </si>
  <si>
    <t>"of"</t>
  </si>
  <si>
    <t>remove "of" unless necessary</t>
  </si>
  <si>
    <t>The frequency of "of" is much less than "the"</t>
  </si>
  <si>
    <t>units</t>
  </si>
  <si>
    <t>number needs to be with units, prefer no plural (or with plural), unless necessary to ignore.</t>
  </si>
  <si>
    <t>"hour"</t>
  </si>
  <si>
    <t>use "Hr" / "hr"</t>
  </si>
  <si>
    <t>"-"</t>
  </si>
  <si>
    <t>"" (skip), "minus" (depending on the context)</t>
  </si>
  <si>
    <t>name</t>
  </si>
  <si>
    <t>_rank</t>
  </si>
  <si>
    <t>_rank.0</t>
  </si>
  <si>
    <t>normal/mild HIE</t>
  </si>
  <si>
    <t>1</t>
  </si>
  <si>
    <t>0</t>
  </si>
  <si>
    <t>2b</t>
  </si>
  <si>
    <t>hypotonia</t>
  </si>
  <si>
    <t>2</t>
  </si>
  <si>
    <t>2a</t>
  </si>
  <si>
    <t>flaccid</t>
  </si>
  <si>
    <t>3</t>
  </si>
  <si>
    <t>3a</t>
  </si>
  <si>
    <t>rigid</t>
  </si>
  <si>
    <t>3b</t>
  </si>
  <si>
    <t>lethargic</t>
  </si>
  <si>
    <t>stupor/coma</t>
  </si>
  <si>
    <t>distal flexion, complete extension</t>
  </si>
  <si>
    <t>decerebrate</t>
  </si>
  <si>
    <t>incopmlete</t>
  </si>
  <si>
    <t>absent</t>
  </si>
  <si>
    <t>weak</t>
  </si>
  <si>
    <t>periodic breathing</t>
  </si>
  <si>
    <t>apnea</t>
  </si>
  <si>
    <t>on vent with spontaneous breaths</t>
  </si>
  <si>
    <t>on vent without spontaneous breaths</t>
  </si>
  <si>
    <t>4</t>
  </si>
  <si>
    <t>bradycardia</t>
  </si>
  <si>
    <t>variable HR</t>
  </si>
  <si>
    <t>constricted</t>
  </si>
  <si>
    <t>deviation</t>
  </si>
  <si>
    <t>decreased activity</t>
  </si>
  <si>
    <t>no activity</t>
  </si>
  <si>
    <t>missed</t>
  </si>
  <si>
    <t>certified neuro examiner not available</t>
  </si>
  <si>
    <t>infant paralyzed</t>
  </si>
  <si>
    <t>not eligible</t>
  </si>
  <si>
    <t>consent granted</t>
  </si>
  <si>
    <t>parent refused consent</t>
  </si>
  <si>
    <t>physician refused</t>
  </si>
  <si>
    <t>consent not requested</t>
  </si>
  <si>
    <t>control</t>
  </si>
  <si>
    <t>72 hrs and 33.5C</t>
  </si>
  <si>
    <t>72 hrs and 32.0C</t>
  </si>
  <si>
    <t>120 hrs and 33.5C</t>
  </si>
  <si>
    <t>120 hrs and 32.0C</t>
  </si>
  <si>
    <t>33.5C</t>
  </si>
  <si>
    <t>32.0C</t>
  </si>
  <si>
    <t>blanketrol II</t>
  </si>
  <si>
    <t>blanketrol III</t>
  </si>
  <si>
    <t>moderate</t>
  </si>
  <si>
    <t>severe</t>
  </si>
  <si>
    <t>≤ 12 hrs</t>
  </si>
  <si>
    <t>&gt; 12 hrs</t>
  </si>
  <si>
    <t>female</t>
  </si>
  <si>
    <t>ambiguous</t>
  </si>
  <si>
    <t>0.5</t>
  </si>
  <si>
    <t>hispanic or latino</t>
  </si>
  <si>
    <t>not hispanic or latino</t>
  </si>
  <si>
    <t>unknown</t>
  </si>
  <si>
    <t>&lt; 7th grade</t>
  </si>
  <si>
    <t>7th to 9th grade</t>
  </si>
  <si>
    <t>10th to 12th grade</t>
  </si>
  <si>
    <t>high school degree</t>
  </si>
  <si>
    <t>partial college</t>
  </si>
  <si>
    <t>5</t>
  </si>
  <si>
    <t>college degree</t>
  </si>
  <si>
    <t>6</t>
  </si>
  <si>
    <t>graduate degree</t>
  </si>
  <si>
    <t>7</t>
  </si>
  <si>
    <t>8</t>
  </si>
  <si>
    <t>LH-followup</t>
  </si>
  <si>
    <t>OC-followup</t>
  </si>
  <si>
    <t>private</t>
  </si>
  <si>
    <t>uninsured</t>
  </si>
  <si>
    <t>9</t>
  </si>
  <si>
    <t>both public and private</t>
  </si>
  <si>
    <t>black</t>
  </si>
  <si>
    <t>white</t>
  </si>
  <si>
    <t>american indian or alaska native</t>
  </si>
  <si>
    <t>asian</t>
  </si>
  <si>
    <t>native hawaiian or pacific islander</t>
  </si>
  <si>
    <t>more than one race</t>
  </si>
  <si>
    <t>unknown or not reported</t>
  </si>
  <si>
    <t>married</t>
  </si>
  <si>
    <t>single</t>
  </si>
  <si>
    <t>divorced</t>
  </si>
  <si>
    <t>widowed</t>
  </si>
  <si>
    <t>vaginal vertex, unassisted</t>
  </si>
  <si>
    <t>vaginal vertex, assisted</t>
  </si>
  <si>
    <t>vaginal breech</t>
  </si>
  <si>
    <t>vaginal NOS</t>
  </si>
  <si>
    <t>non-emergent cesarean</t>
  </si>
  <si>
    <t>emergent cesarean</t>
  </si>
  <si>
    <t>&lt; 5 mins</t>
  </si>
  <si>
    <t>5 - 10 mins</t>
  </si>
  <si>
    <t>10 mins - 1 hr</t>
  </si>
  <si>
    <t>1 - 4 hrs</t>
  </si>
  <si>
    <t>&gt; 4 hrs</t>
  </si>
  <si>
    <t>arterial</t>
  </si>
  <si>
    <t>venous</t>
  </si>
  <si>
    <t>mixed</t>
  </si>
  <si>
    <t>A</t>
  </si>
  <si>
    <t>V</t>
  </si>
  <si>
    <t>capillary</t>
  </si>
  <si>
    <t>C</t>
  </si>
  <si>
    <t>Ampicillin</t>
  </si>
  <si>
    <t>01</t>
  </si>
  <si>
    <t>Carbenicillin</t>
  </si>
  <si>
    <t>02</t>
  </si>
  <si>
    <t>Oxacillin</t>
  </si>
  <si>
    <t>03</t>
  </si>
  <si>
    <t>Penicillin G</t>
  </si>
  <si>
    <t>04</t>
  </si>
  <si>
    <t>Piperacillin</t>
  </si>
  <si>
    <t>05</t>
  </si>
  <si>
    <t>Ticarcillin</t>
  </si>
  <si>
    <t>06</t>
  </si>
  <si>
    <t>Mexlocillin</t>
  </si>
  <si>
    <t>07</t>
  </si>
  <si>
    <t>Methicillin</t>
  </si>
  <si>
    <t>08</t>
  </si>
  <si>
    <t>Nafcillin</t>
  </si>
  <si>
    <t>09</t>
  </si>
  <si>
    <t>Cephalothin</t>
  </si>
  <si>
    <t>20</t>
  </si>
  <si>
    <t>Cefazolin (Kefzol)</t>
  </si>
  <si>
    <t>21</t>
  </si>
  <si>
    <t>Cefotaxime (Claforan)</t>
  </si>
  <si>
    <t>22</t>
  </si>
  <si>
    <t>Cefoxitin</t>
  </si>
  <si>
    <t>23</t>
  </si>
  <si>
    <t>Moxalactam</t>
  </si>
  <si>
    <t>24</t>
  </si>
  <si>
    <t>Ceftazadime (Fortaz)</t>
  </si>
  <si>
    <t>25</t>
  </si>
  <si>
    <t>Ceftriaxone (Rocephin)</t>
  </si>
  <si>
    <t>26</t>
  </si>
  <si>
    <t>Ceftizoxime</t>
  </si>
  <si>
    <t>27</t>
  </si>
  <si>
    <t>Cefuroxime</t>
  </si>
  <si>
    <t>28</t>
  </si>
  <si>
    <t>Cefotetan</t>
  </si>
  <si>
    <t>29</t>
  </si>
  <si>
    <t>Amikacin</t>
  </si>
  <si>
    <t>31</t>
  </si>
  <si>
    <t>Gentamicin</t>
  </si>
  <si>
    <t>32</t>
  </si>
  <si>
    <t>Kanamycin</t>
  </si>
  <si>
    <t>33</t>
  </si>
  <si>
    <t>Tobramycin</t>
  </si>
  <si>
    <t>34</t>
  </si>
  <si>
    <t>Amphotericin B</t>
  </si>
  <si>
    <t>41</t>
  </si>
  <si>
    <t>Flucytosine (5FC)</t>
  </si>
  <si>
    <t>43</t>
  </si>
  <si>
    <t>Vancomycin</t>
  </si>
  <si>
    <t>44</t>
  </si>
  <si>
    <t>Vidarabine</t>
  </si>
  <si>
    <t>45</t>
  </si>
  <si>
    <t>Bactrim</t>
  </si>
  <si>
    <t>46</t>
  </si>
  <si>
    <t>Chloramphenicol (Chloromycetin)</t>
  </si>
  <si>
    <t>47</t>
  </si>
  <si>
    <t>Oral Nystatin</t>
  </si>
  <si>
    <t>48</t>
  </si>
  <si>
    <t>Clindamycin</t>
  </si>
  <si>
    <t>49</t>
  </si>
  <si>
    <t>Erythromycin (IV)</t>
  </si>
  <si>
    <t>50</t>
  </si>
  <si>
    <t>Fluconazole</t>
  </si>
  <si>
    <t>61</t>
  </si>
  <si>
    <t>Imipenem</t>
  </si>
  <si>
    <t>62</t>
  </si>
  <si>
    <t>Metronidazole</t>
  </si>
  <si>
    <t>63</t>
  </si>
  <si>
    <t>Aztreonam</t>
  </si>
  <si>
    <t>64</t>
  </si>
  <si>
    <t>Acyclovir</t>
  </si>
  <si>
    <t>71</t>
  </si>
  <si>
    <t>Ganciclovir</t>
  </si>
  <si>
    <t>72</t>
  </si>
  <si>
    <t>Ribavirin (Aerosol)</t>
  </si>
  <si>
    <t>73</t>
  </si>
  <si>
    <t>Zidovuldine (AZT)</t>
  </si>
  <si>
    <t>74</t>
  </si>
  <si>
    <t>Other</t>
  </si>
  <si>
    <t>99</t>
  </si>
  <si>
    <t>Other; Code to be assigned</t>
  </si>
  <si>
    <t>010</t>
  </si>
  <si>
    <t>Staphylococcus sp.</t>
  </si>
  <si>
    <t>100</t>
  </si>
  <si>
    <t>Staphylococcus aureus</t>
  </si>
  <si>
    <t>101</t>
  </si>
  <si>
    <t>Staphylococcus epidermidis</t>
  </si>
  <si>
    <t>102</t>
  </si>
  <si>
    <t>Staphylococcus sp. Unknown, coag -neg</t>
  </si>
  <si>
    <t>104</t>
  </si>
  <si>
    <t>Micrococcus sp.</t>
  </si>
  <si>
    <t>105</t>
  </si>
  <si>
    <t>Streptococcus sp. (includes Enterococcus)</t>
  </si>
  <si>
    <t>110</t>
  </si>
  <si>
    <t>Streptococcus viridans</t>
  </si>
  <si>
    <t>111</t>
  </si>
  <si>
    <t>Streptococcus Group A</t>
  </si>
  <si>
    <t>112</t>
  </si>
  <si>
    <t>Streptococcus Group B</t>
  </si>
  <si>
    <t>113</t>
  </si>
  <si>
    <t>Streptococcus Group G</t>
  </si>
  <si>
    <t>117</t>
  </si>
  <si>
    <t>Streptococcus pneumoniae</t>
  </si>
  <si>
    <t>133</t>
  </si>
  <si>
    <t>Streptococcus Group D</t>
  </si>
  <si>
    <t>134</t>
  </si>
  <si>
    <t>Streptococcus Group D faecum</t>
  </si>
  <si>
    <t>137</t>
  </si>
  <si>
    <t>Streptococcus Group D faecalis</t>
  </si>
  <si>
    <t>139</t>
  </si>
  <si>
    <t>Bacillus sp.</t>
  </si>
  <si>
    <t>140</t>
  </si>
  <si>
    <t>Listeria sp.</t>
  </si>
  <si>
    <t>150</t>
  </si>
  <si>
    <t>Listeria monocytogenes</t>
  </si>
  <si>
    <t>154</t>
  </si>
  <si>
    <t>Escherichia coli</t>
  </si>
  <si>
    <t>200</t>
  </si>
  <si>
    <t>Salmonella sp</t>
  </si>
  <si>
    <t>210</t>
  </si>
  <si>
    <t>Shigella sp.</t>
  </si>
  <si>
    <t>220</t>
  </si>
  <si>
    <t>Citrobacter sp.</t>
  </si>
  <si>
    <t>226</t>
  </si>
  <si>
    <t>Klebsiella sp.</t>
  </si>
  <si>
    <t>230</t>
  </si>
  <si>
    <t>Enterobacter sp.</t>
  </si>
  <si>
    <t>240</t>
  </si>
  <si>
    <t>Enterobacter cloacae</t>
  </si>
  <si>
    <t>243</t>
  </si>
  <si>
    <t>Serratia sp.</t>
  </si>
  <si>
    <t>250</t>
  </si>
  <si>
    <t>Serratia marcescens</t>
  </si>
  <si>
    <t>252</t>
  </si>
  <si>
    <t>Proteus sp.</t>
  </si>
  <si>
    <t>260</t>
  </si>
  <si>
    <t>Providencia sp.</t>
  </si>
  <si>
    <t>270</t>
  </si>
  <si>
    <t>Pseudomonas sp.</t>
  </si>
  <si>
    <t>300</t>
  </si>
  <si>
    <t>Pseudomonas aeruginosa</t>
  </si>
  <si>
    <t>301</t>
  </si>
  <si>
    <t>Pseudomonas cepacia</t>
  </si>
  <si>
    <t>303</t>
  </si>
  <si>
    <t>Acinetobacter antiratus</t>
  </si>
  <si>
    <t>320</t>
  </si>
  <si>
    <t>Herellea vaginicola</t>
  </si>
  <si>
    <t>325</t>
  </si>
  <si>
    <t>Bacteroides sp.</t>
  </si>
  <si>
    <t>410</t>
  </si>
  <si>
    <t>Clostridia sp.</t>
  </si>
  <si>
    <t>420</t>
  </si>
  <si>
    <t>Fusobacterium nucleatum</t>
  </si>
  <si>
    <t>444</t>
  </si>
  <si>
    <t>Peptococcus sp.</t>
  </si>
  <si>
    <t>450</t>
  </si>
  <si>
    <t>Peptostreptococcus sp.</t>
  </si>
  <si>
    <t>460</t>
  </si>
  <si>
    <t>Propionibacterium sp.</t>
  </si>
  <si>
    <t>470</t>
  </si>
  <si>
    <t>Corynebacterium sp.</t>
  </si>
  <si>
    <t>500</t>
  </si>
  <si>
    <t>Streptocbacillus sp.</t>
  </si>
  <si>
    <t>517</t>
  </si>
  <si>
    <t>Treponema sp.</t>
  </si>
  <si>
    <t>560</t>
  </si>
  <si>
    <t>Treponema pallidum (Syphilis)</t>
  </si>
  <si>
    <t>561</t>
  </si>
  <si>
    <t>Neisseria sp.</t>
  </si>
  <si>
    <t>570</t>
  </si>
  <si>
    <t>Neisseria gonorrhoeae</t>
  </si>
  <si>
    <t>573</t>
  </si>
  <si>
    <t>Hemophilus sp.</t>
  </si>
  <si>
    <t>590</t>
  </si>
  <si>
    <t>Hemophilus influenzae</t>
  </si>
  <si>
    <t>592</t>
  </si>
  <si>
    <t>Hemophilus vaginalis</t>
  </si>
  <si>
    <t>594</t>
  </si>
  <si>
    <t>Other Bacteria; Code to be assigned</t>
  </si>
  <si>
    <t>699</t>
  </si>
  <si>
    <t>Meningococcus meningitis</t>
  </si>
  <si>
    <t>702</t>
  </si>
  <si>
    <t>713</t>
  </si>
  <si>
    <t>733</t>
  </si>
  <si>
    <t>792</t>
  </si>
  <si>
    <t>Other Antigen; Code to be assigned</t>
  </si>
  <si>
    <t>799</t>
  </si>
  <si>
    <t>Aspergillus fumigatus</t>
  </si>
  <si>
    <t>802</t>
  </si>
  <si>
    <t>Aspergillus sp.</t>
  </si>
  <si>
    <t>805</t>
  </si>
  <si>
    <t>Candida sp.</t>
  </si>
  <si>
    <t>810</t>
  </si>
  <si>
    <t>Candida albicans</t>
  </si>
  <si>
    <t>811</t>
  </si>
  <si>
    <t>Candida parapsilosis</t>
  </si>
  <si>
    <t>816</t>
  </si>
  <si>
    <t>Torulopsis glabrata</t>
  </si>
  <si>
    <t>823</t>
  </si>
  <si>
    <t>Alternaria sp.</t>
  </si>
  <si>
    <t>833</t>
  </si>
  <si>
    <t>Auroebasidium sp.</t>
  </si>
  <si>
    <t>834</t>
  </si>
  <si>
    <t>Cladsporium sp.</t>
  </si>
  <si>
    <t>840</t>
  </si>
  <si>
    <t>Rhodotorula sp.</t>
  </si>
  <si>
    <t>870</t>
  </si>
  <si>
    <t>Saccharomyces sp. (yeast)</t>
  </si>
  <si>
    <t>872</t>
  </si>
  <si>
    <t>Malassezia fur fur</t>
  </si>
  <si>
    <t>881</t>
  </si>
  <si>
    <t>Other Fungi; Code to be assigned</t>
  </si>
  <si>
    <t>899</t>
  </si>
  <si>
    <t>CMV</t>
  </si>
  <si>
    <t>901</t>
  </si>
  <si>
    <t>Coxsackie</t>
  </si>
  <si>
    <t>902</t>
  </si>
  <si>
    <t>Herpes</t>
  </si>
  <si>
    <t>905</t>
  </si>
  <si>
    <t>Hepatitis</t>
  </si>
  <si>
    <t>906</t>
  </si>
  <si>
    <t>HIV</t>
  </si>
  <si>
    <t>907</t>
  </si>
  <si>
    <t>RSV</t>
  </si>
  <si>
    <t>908</t>
  </si>
  <si>
    <t>Rotavirus</t>
  </si>
  <si>
    <t>909</t>
  </si>
  <si>
    <t>Rubella</t>
  </si>
  <si>
    <t>910</t>
  </si>
  <si>
    <t>Toxoplasmosis hominis</t>
  </si>
  <si>
    <t>911</t>
  </si>
  <si>
    <t>Mycoplasma</t>
  </si>
  <si>
    <t>921</t>
  </si>
  <si>
    <t>Ureaplasma urealyticum</t>
  </si>
  <si>
    <t>922</t>
  </si>
  <si>
    <t>Para Influenza</t>
  </si>
  <si>
    <t>931</t>
  </si>
  <si>
    <t>Other Virus; Code to be assigned</t>
  </si>
  <si>
    <t>999</t>
  </si>
  <si>
    <t>blood</t>
  </si>
  <si>
    <t>csf</t>
  </si>
  <si>
    <t>Laparotomy</t>
  </si>
  <si>
    <t>201</t>
  </si>
  <si>
    <t>Bowel resection end to end anastomosis</t>
  </si>
  <si>
    <t>202</t>
  </si>
  <si>
    <t>Jejunostomy/ileostomy/colostomy</t>
  </si>
  <si>
    <t>203</t>
  </si>
  <si>
    <t>Ostomy takedown/reanastomosis</t>
  </si>
  <si>
    <t>204</t>
  </si>
  <si>
    <t>Peritoneal drain (for NEC)</t>
  </si>
  <si>
    <t>205</t>
  </si>
  <si>
    <t>Gastrostomy</t>
  </si>
  <si>
    <t>206</t>
  </si>
  <si>
    <t>Appendectomy</t>
  </si>
  <si>
    <t>207</t>
  </si>
  <si>
    <t>Fundoplication</t>
  </si>
  <si>
    <t>208</t>
  </si>
  <si>
    <t>T-E fistula/esophageal atresia repair</t>
  </si>
  <si>
    <t>209</t>
  </si>
  <si>
    <t>Gastroschisis/omphalocele repair</t>
  </si>
  <si>
    <t>Diaphragmatic hernia repair</t>
  </si>
  <si>
    <t>211</t>
  </si>
  <si>
    <t>Inguinal hernia repair</t>
  </si>
  <si>
    <t>212</t>
  </si>
  <si>
    <t>Tracheostomy</t>
  </si>
  <si>
    <t>Anterior cricoid split</t>
  </si>
  <si>
    <t>302</t>
  </si>
  <si>
    <t>Repair of extrophy of the bladder</t>
  </si>
  <si>
    <t>401</t>
  </si>
  <si>
    <t>Urinary diversion</t>
  </si>
  <si>
    <t>402</t>
  </si>
  <si>
    <t>Peritoneal dialysis</t>
  </si>
  <si>
    <t>403</t>
  </si>
  <si>
    <t>Correction of choanal atresia</t>
  </si>
  <si>
    <t>501</t>
  </si>
  <si>
    <t>Repair of cleft lip/palate</t>
  </si>
  <si>
    <t>502</t>
  </si>
  <si>
    <t>Ventricular peritoneal shunt</t>
  </si>
  <si>
    <t>601</t>
  </si>
  <si>
    <t>Central line placement</t>
  </si>
  <si>
    <t>Other Surgeries not listed</t>
  </si>
  <si>
    <t>Anencephaly</t>
  </si>
  <si>
    <t>Meningomyelocele</t>
  </si>
  <si>
    <t>Hydranecephaly</t>
  </si>
  <si>
    <t>103</t>
  </si>
  <si>
    <t>Congenital Hydrocephalus</t>
  </si>
  <si>
    <t>Holoprosencephaly</t>
  </si>
  <si>
    <t>Other Central Nervous System Defects</t>
  </si>
  <si>
    <t>199</t>
  </si>
  <si>
    <t>Pulmonary Atresia</t>
  </si>
  <si>
    <t>Tricuspid Atresia</t>
  </si>
  <si>
    <t>Hypoplastic Left Heart Syndrome</t>
  </si>
  <si>
    <t>Interrupted Aortic Arch</t>
  </si>
  <si>
    <t>Total Anomalous Pulmonary Venous Return</t>
  </si>
  <si>
    <t>Other Congenital Heart Defects</t>
  </si>
  <si>
    <t>299</t>
  </si>
  <si>
    <t>Cleft Palate</t>
  </si>
  <si>
    <t>Tracheo-Esophageal Fistula</t>
  </si>
  <si>
    <t>Esophageal Atresia</t>
  </si>
  <si>
    <t>Duodenal Atresia</t>
  </si>
  <si>
    <t>304</t>
  </si>
  <si>
    <t>Jejunal Atresia</t>
  </si>
  <si>
    <t>305</t>
  </si>
  <si>
    <t>Ileal Atresia</t>
  </si>
  <si>
    <t>306</t>
  </si>
  <si>
    <t>Atresia of large bowel or rectum</t>
  </si>
  <si>
    <t>307</t>
  </si>
  <si>
    <t>Imperforate anus</t>
  </si>
  <si>
    <t>308</t>
  </si>
  <si>
    <t>Omphalocele</t>
  </si>
  <si>
    <t>309</t>
  </si>
  <si>
    <t>Gastroschisis</t>
  </si>
  <si>
    <t>310</t>
  </si>
  <si>
    <t>Other Gastro-Intestinal Defects</t>
  </si>
  <si>
    <t>399</t>
  </si>
  <si>
    <t>Bilateral Renal Agenesis</t>
  </si>
  <si>
    <t>Bilateral polysystic, multicystic, or dysplastic k</t>
  </si>
  <si>
    <t>Obstructive Uropathy with Congenital Hydonephrosis</t>
  </si>
  <si>
    <t>Exstrophy of the Urinary Bladder</t>
  </si>
  <si>
    <t>404</t>
  </si>
  <si>
    <t>Other Genito-Urinary Defects</t>
  </si>
  <si>
    <t>499</t>
  </si>
  <si>
    <t>Trisomy 13</t>
  </si>
  <si>
    <t>Trisomy 18</t>
  </si>
  <si>
    <t>Trisomy 21</t>
  </si>
  <si>
    <t>503</t>
  </si>
  <si>
    <t>Other Chromosomal Abnormality (DESCRIBE w/ Comment</t>
  </si>
  <si>
    <t>504</t>
  </si>
  <si>
    <t>Skeletal Dysplasia (DESCRIBE w/ Comment)</t>
  </si>
  <si>
    <t>Congenital Diaphragmatic Hernia</t>
  </si>
  <si>
    <t>602</t>
  </si>
  <si>
    <t>Hydrops Fetalis with anasarca and one or more of t</t>
  </si>
  <si>
    <t>603</t>
  </si>
  <si>
    <t>Oligohydramnios sequence including all three of th</t>
  </si>
  <si>
    <t>604</t>
  </si>
  <si>
    <t>Inborn Error of Metabolism (DESCRIBE w/ Comment)</t>
  </si>
  <si>
    <t>605</t>
  </si>
  <si>
    <t>Myotonic Dystrophy requiring endotracheal intubati</t>
  </si>
  <si>
    <t>606</t>
  </si>
  <si>
    <t>Other Serious and/or Life-Threatening Birth Defect</t>
  </si>
  <si>
    <t>Topiramate (Topamax)</t>
  </si>
  <si>
    <t>Phenobarbital</t>
  </si>
  <si>
    <t>Lorazepam (Ativan)</t>
  </si>
  <si>
    <t>Phenytoin (Dilantin)</t>
  </si>
  <si>
    <t>Paraldehyde</t>
  </si>
  <si>
    <t>Levetiracetam (Keppra)</t>
  </si>
  <si>
    <t>Pyridoxine (Vitamin B6)</t>
  </si>
  <si>
    <t>Bumetanide (Bumex)</t>
  </si>
  <si>
    <t>Pentobarbital</t>
  </si>
  <si>
    <t>Morphine</t>
  </si>
  <si>
    <t>001</t>
  </si>
  <si>
    <t>Chloral hydrate</t>
  </si>
  <si>
    <t>002</t>
  </si>
  <si>
    <t>Fentanyl</t>
  </si>
  <si>
    <t>003</t>
  </si>
  <si>
    <t>Midazolam (Versed)</t>
  </si>
  <si>
    <t>004</t>
  </si>
  <si>
    <t>005</t>
  </si>
  <si>
    <t>009</t>
  </si>
  <si>
    <t>Ativan</t>
  </si>
  <si>
    <t>Acetaminophen</t>
  </si>
  <si>
    <t>Ibuprofen</t>
  </si>
  <si>
    <t>Pancuronium</t>
  </si>
  <si>
    <t>Vecuronium</t>
  </si>
  <si>
    <t>none</t>
  </si>
  <si>
    <t>HFV</t>
  </si>
  <si>
    <t>IMV</t>
  </si>
  <si>
    <t>CPAP</t>
  </si>
  <si>
    <t>hood</t>
  </si>
  <si>
    <t>nasal connula oxygen</t>
  </si>
  <si>
    <t>high flow nasal connula</t>
  </si>
  <si>
    <t>receive cooling as part of usual care at the site</t>
  </si>
  <si>
    <t>receive rewarming as part of usual care at the site</t>
  </si>
  <si>
    <t>serious adverse event</t>
  </si>
  <si>
    <t>DNR</t>
  </si>
  <si>
    <t>withdrawal of support</t>
  </si>
  <si>
    <t>death</t>
  </si>
  <si>
    <t>normal</t>
  </si>
  <si>
    <t>increased cerebral echogenicity/density</t>
  </si>
  <si>
    <t>increased thalamic/basal ganglia echogenicity/density</t>
  </si>
  <si>
    <t>germinal matrix hemorrhage</t>
  </si>
  <si>
    <t>intraventricular hemorrhage</t>
  </si>
  <si>
    <t>posterior fossa hemorrhage</t>
  </si>
  <si>
    <t>intraparenchymal hemorrhage</t>
  </si>
  <si>
    <t>subarachnoid hemorrhage</t>
  </si>
  <si>
    <t>subdural hemorrhage</t>
  </si>
  <si>
    <t>calcifications</t>
  </si>
  <si>
    <t>10</t>
  </si>
  <si>
    <t>loss of gray/white matter differentiation</t>
  </si>
  <si>
    <t>11</t>
  </si>
  <si>
    <t>ventriculomegaly</t>
  </si>
  <si>
    <t>12</t>
  </si>
  <si>
    <t>porencephaly</t>
  </si>
  <si>
    <t>13</t>
  </si>
  <si>
    <t>PVL</t>
  </si>
  <si>
    <t>14</t>
  </si>
  <si>
    <t>abnormal cerebral signal intensity; focal</t>
  </si>
  <si>
    <t>15</t>
  </si>
  <si>
    <t>abnormal cerebral signal intensity; diffuse</t>
  </si>
  <si>
    <t>16</t>
  </si>
  <si>
    <t>abnormal signal intensity; gray matter</t>
  </si>
  <si>
    <t>17</t>
  </si>
  <si>
    <t>abnormal signal intensity; white matter</t>
  </si>
  <si>
    <t>18</t>
  </si>
  <si>
    <t>abnormal basal ganglia/thalamic signal intensity</t>
  </si>
  <si>
    <t>19</t>
  </si>
  <si>
    <t>abnormal cerebeliar signal intensity</t>
  </si>
  <si>
    <t>abnormal brainstem signal intensity</t>
  </si>
  <si>
    <t>saggital sinus thrombosis</t>
  </si>
  <si>
    <t>congenital malformation</t>
  </si>
  <si>
    <t>post-intervention</t>
  </si>
  <si>
    <t>1 MRI obtained AFTER study intervention is complet</t>
  </si>
  <si>
    <t>in-intervention</t>
  </si>
  <si>
    <t>2 MRI obtained DURING study intervention period</t>
  </si>
  <si>
    <t>no arrangement</t>
  </si>
  <si>
    <t>no arrangement with satellite site</t>
  </si>
  <si>
    <t>MRI unavailable</t>
  </si>
  <si>
    <t>2 Unable to locate MRI or unavailable</t>
  </si>
  <si>
    <t>3 Other, specify</t>
  </si>
  <si>
    <t>Global</t>
  </si>
  <si>
    <t>1 Global</t>
  </si>
  <si>
    <t>Localized</t>
  </si>
  <si>
    <t>2 Localized</t>
  </si>
  <si>
    <t>PO, L&gt;R</t>
  </si>
  <si>
    <t>PO L&gt;R</t>
  </si>
  <si>
    <t>R&gt;L FP, R TM</t>
  </si>
  <si>
    <t>R&gt;L FP; R TM</t>
  </si>
  <si>
    <t>MILD DIFFUSE HEMISPHERIC</t>
  </si>
  <si>
    <t>MILD DIFFYSE HEMISPHERIC</t>
  </si>
  <si>
    <t>mild</t>
  </si>
  <si>
    <t>DIFFUSE</t>
  </si>
  <si>
    <t>LT HEMISPHERIC</t>
  </si>
  <si>
    <t>Normal</t>
  </si>
  <si>
    <t>1 None</t>
  </si>
  <si>
    <t>1 Normal</t>
  </si>
  <si>
    <t>1 Nominal</t>
  </si>
  <si>
    <t>Mild</t>
  </si>
  <si>
    <t>2 Equivocal</t>
  </si>
  <si>
    <t>2 Mild</t>
  </si>
  <si>
    <t>2 Minimal</t>
  </si>
  <si>
    <t>Moderate</t>
  </si>
  <si>
    <t>3 Moderate</t>
  </si>
  <si>
    <t>Severe</t>
  </si>
  <si>
    <t>4 Severe</t>
  </si>
  <si>
    <t>Shunted</t>
  </si>
  <si>
    <t>5 Shunted</t>
  </si>
  <si>
    <t>Equivocal</t>
  </si>
  <si>
    <t>Abnormal</t>
  </si>
  <si>
    <t>3 Abnormal</t>
  </si>
  <si>
    <t>None</t>
  </si>
  <si>
    <t>1 Minimal</t>
  </si>
  <si>
    <t>2 Moderate</t>
  </si>
  <si>
    <t>3 Severe</t>
  </si>
  <si>
    <t>1 0</t>
  </si>
  <si>
    <t>0 Normal</t>
  </si>
  <si>
    <t>1A</t>
  </si>
  <si>
    <t>2 1A</t>
  </si>
  <si>
    <t>1A Minimal cerebral lesions only</t>
  </si>
  <si>
    <t>1.1</t>
  </si>
  <si>
    <t>1B</t>
  </si>
  <si>
    <t>1.5</t>
  </si>
  <si>
    <t>3 1B</t>
  </si>
  <si>
    <t>1B more extensive cerebral lesions</t>
  </si>
  <si>
    <t>1.2</t>
  </si>
  <si>
    <t>2A</t>
  </si>
  <si>
    <t>4 2A</t>
  </si>
  <si>
    <t>2A1 any watershed infarction</t>
  </si>
  <si>
    <t>2A2 involvement of either BGT, PLIC</t>
  </si>
  <si>
    <t>2A3 Both 2A1 and 2A2</t>
  </si>
  <si>
    <t>2A1</t>
  </si>
  <si>
    <t>2A2</t>
  </si>
  <si>
    <t>2A3</t>
  </si>
  <si>
    <t>2.11</t>
  </si>
  <si>
    <t>2.12</t>
  </si>
  <si>
    <t>2.13</t>
  </si>
  <si>
    <t>2B</t>
  </si>
  <si>
    <t>2.5</t>
  </si>
  <si>
    <t>5 2B</t>
  </si>
  <si>
    <t>2B1 Any watershed or vascular infarction</t>
  </si>
  <si>
    <t>2B2 involvement of either BGT or PLIC</t>
  </si>
  <si>
    <t>2B3 Both 2B1 and 2B2</t>
  </si>
  <si>
    <t>2B1</t>
  </si>
  <si>
    <t>2B2</t>
  </si>
  <si>
    <t>2B3</t>
  </si>
  <si>
    <t>2.21</t>
  </si>
  <si>
    <t>2.22</t>
  </si>
  <si>
    <t>2.23</t>
  </si>
  <si>
    <t>6 3</t>
  </si>
  <si>
    <t>3 cerebral hemispheric devastation</t>
  </si>
  <si>
    <t>b</t>
  </si>
  <si>
    <t>c</t>
  </si>
  <si>
    <t>d</t>
  </si>
  <si>
    <t>R</t>
  </si>
  <si>
    <t>1 R</t>
  </si>
  <si>
    <t>L</t>
  </si>
  <si>
    <t>2 L</t>
  </si>
  <si>
    <t>R-L</t>
  </si>
  <si>
    <t>3 R-L</t>
  </si>
  <si>
    <t>L-R</t>
  </si>
  <si>
    <t>4 L-R</t>
  </si>
  <si>
    <t>R=L</t>
  </si>
  <si>
    <t>5 R=L</t>
  </si>
  <si>
    <t>Basal Ganglia</t>
  </si>
  <si>
    <t>BG Basal Ganglia</t>
  </si>
  <si>
    <t>BG</t>
  </si>
  <si>
    <t>Thalamus</t>
  </si>
  <si>
    <t>T Thalamus</t>
  </si>
  <si>
    <t>T</t>
  </si>
  <si>
    <t>Perisylvian</t>
  </si>
  <si>
    <t>PERI Perisylvian</t>
  </si>
  <si>
    <t>PERI</t>
  </si>
  <si>
    <t>Corona Radiata</t>
  </si>
  <si>
    <t>CR Corona Radiata</t>
  </si>
  <si>
    <t>CR</t>
  </si>
  <si>
    <t>Perirolandic</t>
  </si>
  <si>
    <t>PER Perirolandic</t>
  </si>
  <si>
    <t>PER</t>
  </si>
  <si>
    <t>Frontal-parietal</t>
  </si>
  <si>
    <t>FP Frontal-parietal</t>
  </si>
  <si>
    <t>FP</t>
  </si>
  <si>
    <t>Parietal-temporal</t>
  </si>
  <si>
    <t>PT Parietal-temporal</t>
  </si>
  <si>
    <t>PT</t>
  </si>
  <si>
    <t>Parietal-occipital</t>
  </si>
  <si>
    <t>PO Parietal-occipital</t>
  </si>
  <si>
    <t>PO</t>
  </si>
  <si>
    <t>Temporal-occipital</t>
  </si>
  <si>
    <t>TO Temporal-occipital</t>
  </si>
  <si>
    <t>TO</t>
  </si>
  <si>
    <t>Cerebellar</t>
  </si>
  <si>
    <t>BEL Cerebellar</t>
  </si>
  <si>
    <t>BEL</t>
  </si>
  <si>
    <t>Intraventricular</t>
  </si>
  <si>
    <t>VENT Intraventricular</t>
  </si>
  <si>
    <t>VENT</t>
  </si>
  <si>
    <t>Temporal</t>
  </si>
  <si>
    <t>TM Temporal</t>
  </si>
  <si>
    <t>TM</t>
  </si>
  <si>
    <t>Occipital</t>
  </si>
  <si>
    <t>O Occipital</t>
  </si>
  <si>
    <t>O</t>
  </si>
  <si>
    <t>Insular</t>
  </si>
  <si>
    <t>INS Insular</t>
  </si>
  <si>
    <t>INS</t>
  </si>
  <si>
    <t>Frontal</t>
  </si>
  <si>
    <t>F Frontal</t>
  </si>
  <si>
    <t>F</t>
  </si>
  <si>
    <t>Corpus Callosum</t>
  </si>
  <si>
    <t>CC Corpus Callosum</t>
  </si>
  <si>
    <t>CC</t>
  </si>
  <si>
    <t>Brainstem</t>
  </si>
  <si>
    <t>BS Brainstem</t>
  </si>
  <si>
    <t>BS</t>
  </si>
  <si>
    <t>Hippocampus</t>
  </si>
  <si>
    <t>HIP Hippocampus</t>
  </si>
  <si>
    <t>HIP</t>
  </si>
  <si>
    <t>PLIC</t>
  </si>
  <si>
    <t>PL PLIC</t>
  </si>
  <si>
    <t>PL</t>
  </si>
  <si>
    <t>Extra-Axial</t>
  </si>
  <si>
    <t>EX Extra-Axial</t>
  </si>
  <si>
    <t>EX</t>
  </si>
  <si>
    <t>Scalp</t>
  </si>
  <si>
    <t>S Scalp</t>
  </si>
  <si>
    <t>S</t>
  </si>
  <si>
    <t>Parasagittal area</t>
  </si>
  <si>
    <t>PARA Parasagittal area</t>
  </si>
  <si>
    <t>PARA</t>
  </si>
  <si>
    <t>Parietal</t>
  </si>
  <si>
    <t>P Parietal</t>
  </si>
  <si>
    <t>P</t>
  </si>
  <si>
    <t>Cerebral</t>
  </si>
  <si>
    <t>C Cerebral</t>
  </si>
  <si>
    <t>1 Right only</t>
  </si>
  <si>
    <t>R Right only</t>
  </si>
  <si>
    <t>2 Left only</t>
  </si>
  <si>
    <t>L Left only</t>
  </si>
  <si>
    <t>R&gt;L</t>
  </si>
  <si>
    <t>3 Right greater than left</t>
  </si>
  <si>
    <t>R&gt;L Right greater than left</t>
  </si>
  <si>
    <t>L&gt;R</t>
  </si>
  <si>
    <t>4 Left greater than right</t>
  </si>
  <si>
    <t>L&gt;R Left greater than right</t>
  </si>
  <si>
    <t>5 Right and left, equally</t>
  </si>
  <si>
    <t>R=L Right and left, equally</t>
  </si>
  <si>
    <t>Gray matter</t>
  </si>
  <si>
    <t>1 Gray matter</t>
  </si>
  <si>
    <t>1 GM Gray matter</t>
  </si>
  <si>
    <t>White matter</t>
  </si>
  <si>
    <t>2 White matter</t>
  </si>
  <si>
    <t>2 WM White matter</t>
  </si>
  <si>
    <t>Gray matter + White matter</t>
  </si>
  <si>
    <t>3 Gray matter + White matter</t>
  </si>
  <si>
    <t>3 GM+WM Gray and white matter</t>
  </si>
  <si>
    <t>1 Mild</t>
  </si>
  <si>
    <t>Extensive</t>
  </si>
  <si>
    <t>3 Extensive</t>
  </si>
  <si>
    <t>Hemispheric Devastation</t>
  </si>
  <si>
    <t>Cystic</t>
  </si>
  <si>
    <t>1 Cystic</t>
  </si>
  <si>
    <t>CYS Cystic</t>
  </si>
  <si>
    <t>CYS</t>
  </si>
  <si>
    <t>Non-Cystic</t>
  </si>
  <si>
    <t>2 Non-Cystic</t>
  </si>
  <si>
    <t>NCYS Non-Cystic</t>
  </si>
  <si>
    <t>NCYS</t>
  </si>
  <si>
    <t>Hemorrhage</t>
  </si>
  <si>
    <t>3 Hemorrhage</t>
  </si>
  <si>
    <t>HEM Hemorrhage</t>
  </si>
  <si>
    <t>HEM</t>
  </si>
  <si>
    <t>Edema</t>
  </si>
  <si>
    <t>4 Edema</t>
  </si>
  <si>
    <t>ED Edema</t>
  </si>
  <si>
    <t>ED</t>
  </si>
  <si>
    <t>Infarct</t>
  </si>
  <si>
    <t>5 Infarct</t>
  </si>
  <si>
    <t>INF Infarct</t>
  </si>
  <si>
    <t>INF</t>
  </si>
  <si>
    <t>Gliosis</t>
  </si>
  <si>
    <t>6 Gliosis</t>
  </si>
  <si>
    <t>radiant warmer</t>
  </si>
  <si>
    <t>incubator</t>
  </si>
  <si>
    <t>crib</t>
  </si>
  <si>
    <t>servo control</t>
  </si>
  <si>
    <t>air manual control</t>
  </si>
  <si>
    <t>medical procedure</t>
  </si>
  <si>
    <t>criteria not met</t>
  </si>
  <si>
    <t>not done</t>
  </si>
  <si>
    <t>sinus bradycardia</t>
  </si>
  <si>
    <t>&gt; 15 mins</t>
  </si>
  <si>
    <t>&gt; 20 mins</t>
  </si>
  <si>
    <t>&gt; 30 mins</t>
  </si>
  <si>
    <t>&gt; 40 mins</t>
  </si>
  <si>
    <t>60-69 bpm</t>
  </si>
  <si>
    <t>50-59 bpm</t>
  </si>
  <si>
    <t>&lt; 50 bpm</t>
  </si>
  <si>
    <t>false</t>
  </si>
  <si>
    <t>N</t>
  </si>
  <si>
    <t>erythema</t>
  </si>
  <si>
    <t>sclerema</t>
  </si>
  <si>
    <t>cyanosis</t>
  </si>
  <si>
    <t>subcutaneous fat necrosis</t>
  </si>
  <si>
    <t>true</t>
  </si>
  <si>
    <t>Y</t>
  </si>
  <si>
    <t>not likely</t>
  </si>
  <si>
    <t>possibly</t>
  </si>
  <si>
    <t>probably</t>
  </si>
  <si>
    <t>no change</t>
  </si>
  <si>
    <t>hypothermia discontinued</t>
  </si>
  <si>
    <t>completely resolved</t>
  </si>
  <si>
    <t>resolved with sequelae</t>
  </si>
  <si>
    <t>patient died</t>
  </si>
  <si>
    <t>not resolved</t>
  </si>
  <si>
    <t>proven sepsis</t>
  </si>
  <si>
    <t>suspect sepsis</t>
  </si>
  <si>
    <t>asphyxial brain injury</t>
  </si>
  <si>
    <t>multi-organ failure</t>
  </si>
  <si>
    <t>MAS</t>
  </si>
  <si>
    <t>PPHN</t>
  </si>
  <si>
    <t>pneumonia</t>
  </si>
  <si>
    <t>CLD</t>
  </si>
  <si>
    <t>BPD/CLD</t>
  </si>
  <si>
    <t>BPD with infection</t>
  </si>
  <si>
    <t>aspiration pneumonia</t>
  </si>
  <si>
    <t>85</t>
  </si>
  <si>
    <t>30</t>
  </si>
  <si>
    <t>CNS infection</t>
  </si>
  <si>
    <t>pulmonary infection</t>
  </si>
  <si>
    <t>trauma, accident</t>
  </si>
  <si>
    <t>65</t>
  </si>
  <si>
    <t>child abuse</t>
  </si>
  <si>
    <t>66</t>
  </si>
  <si>
    <t>dehydration</t>
  </si>
  <si>
    <t>67</t>
  </si>
  <si>
    <t>68</t>
  </si>
  <si>
    <t>malignancy</t>
  </si>
  <si>
    <t>69</t>
  </si>
  <si>
    <t>90</t>
  </si>
  <si>
    <t>hospital autopsy</t>
  </si>
  <si>
    <t>medical examiner autopsy</t>
  </si>
  <si>
    <t>morbidity/mortality review</t>
  </si>
  <si>
    <t>death certificate</t>
  </si>
  <si>
    <t>discharge home</t>
  </si>
  <si>
    <t>transfer to another hospital</t>
  </si>
  <si>
    <t>transfer to chronic care facility</t>
  </si>
  <si>
    <t>transfer</t>
  </si>
  <si>
    <t>died</t>
  </si>
  <si>
    <t>remain in hospital at 6 months</t>
  </si>
  <si>
    <t>consent withdrawn no additional data</t>
  </si>
  <si>
    <t>lack of beds</t>
  </si>
  <si>
    <t>family convenience</t>
  </si>
  <si>
    <t>specialized care</t>
  </si>
  <si>
    <t>chronic or hospice care</t>
  </si>
  <si>
    <t>remain in hospital or chronic care facility at 6 months</t>
  </si>
  <si>
    <t>discharge</t>
  </si>
  <si>
    <t>equipment not available</t>
  </si>
  <si>
    <t>equipment malfunctioned</t>
  </si>
  <si>
    <t>infant transferred out of study site</t>
  </si>
  <si>
    <t>neonatologist withdrew child from study</t>
  </si>
  <si>
    <t>hypothermia never started</t>
  </si>
  <si>
    <t>hypothermia initiated at &lt; 6 hrs or &gt; 24 hrs</t>
  </si>
  <si>
    <t>hypothermia discontinued before 96 hrs</t>
  </si>
  <si>
    <t>wrong treatment group</t>
  </si>
  <si>
    <t>infant ineligible</t>
  </si>
  <si>
    <t>no consent</t>
  </si>
  <si>
    <t>neuro exam at eligibility not done</t>
  </si>
  <si>
    <t>equipment safety shut off</t>
  </si>
  <si>
    <t>mother</t>
  </si>
  <si>
    <t>father</t>
  </si>
  <si>
    <t>husband of mother</t>
  </si>
  <si>
    <t>011</t>
  </si>
  <si>
    <t>wife of father</t>
  </si>
  <si>
    <t>012</t>
  </si>
  <si>
    <t>maternal grandmother</t>
  </si>
  <si>
    <t>021</t>
  </si>
  <si>
    <t>paternal grandmother</t>
  </si>
  <si>
    <t>022</t>
  </si>
  <si>
    <t>maternal grandfather</t>
  </si>
  <si>
    <t>031</t>
  </si>
  <si>
    <t>paternal grandfather</t>
  </si>
  <si>
    <t>032</t>
  </si>
  <si>
    <t>maternal aunt</t>
  </si>
  <si>
    <t>041</t>
  </si>
  <si>
    <t>paternal aunt</t>
  </si>
  <si>
    <t>42</t>
  </si>
  <si>
    <t>042</t>
  </si>
  <si>
    <t>maternal uncle</t>
  </si>
  <si>
    <t>51</t>
  </si>
  <si>
    <t>051</t>
  </si>
  <si>
    <t>paternal uncle</t>
  </si>
  <si>
    <t>52</t>
  </si>
  <si>
    <t>052</t>
  </si>
  <si>
    <t>brother</t>
  </si>
  <si>
    <t>061</t>
  </si>
  <si>
    <t>step brother</t>
  </si>
  <si>
    <t>062</t>
  </si>
  <si>
    <t>sister</t>
  </si>
  <si>
    <t>071</t>
  </si>
  <si>
    <t>step sister</t>
  </si>
  <si>
    <t>072</t>
  </si>
  <si>
    <t>maternal female cousin</t>
  </si>
  <si>
    <t>81</t>
  </si>
  <si>
    <t>081</t>
  </si>
  <si>
    <t>paternal female cousin</t>
  </si>
  <si>
    <t>82</t>
  </si>
  <si>
    <t>082</t>
  </si>
  <si>
    <t>maternal male cousin</t>
  </si>
  <si>
    <t>91</t>
  </si>
  <si>
    <t>091</t>
  </si>
  <si>
    <t>paternal male cousin</t>
  </si>
  <si>
    <t>92</t>
  </si>
  <si>
    <t>092</t>
  </si>
  <si>
    <t>other maternal relative</t>
  </si>
  <si>
    <t>other paternal relative</t>
  </si>
  <si>
    <t>foster mother</t>
  </si>
  <si>
    <t>foster father</t>
  </si>
  <si>
    <t>adoptive mother</t>
  </si>
  <si>
    <t>adoptive father</t>
  </si>
  <si>
    <t>other non-relative</t>
  </si>
  <si>
    <t>social worker</t>
  </si>
  <si>
    <t>staff in congregate care</t>
  </si>
  <si>
    <t>still hospitalized</t>
  </si>
  <si>
    <t>no</t>
  </si>
  <si>
    <t>received but discontinued</t>
  </si>
  <si>
    <t>received</t>
  </si>
  <si>
    <t>recommended but not received</t>
  </si>
  <si>
    <t>&lt; $5,000</t>
  </si>
  <si>
    <t>$5,000 to $9,999</t>
  </si>
  <si>
    <t>$10,000 to $19,999</t>
  </si>
  <si>
    <t>$20,000 to $29,999</t>
  </si>
  <si>
    <t>$30,000 to $39,999</t>
  </si>
  <si>
    <t>$40,000 to $49,999</t>
  </si>
  <si>
    <t>$50,000 to $74,999</t>
  </si>
  <si>
    <t>&gt; $75,000</t>
  </si>
  <si>
    <t>English</t>
  </si>
  <si>
    <t>Spanish</t>
  </si>
  <si>
    <t>primary caregiver's home</t>
  </si>
  <si>
    <t>relative's home</t>
  </si>
  <si>
    <t>other home</t>
  </si>
  <si>
    <t>facility</t>
  </si>
  <si>
    <t>relative</t>
  </si>
  <si>
    <t>non-relative</t>
  </si>
  <si>
    <t>clinic</t>
  </si>
  <si>
    <t>home</t>
  </si>
  <si>
    <t>telephone</t>
  </si>
  <si>
    <t>hospital</t>
  </si>
  <si>
    <t>biological parents</t>
  </si>
  <si>
    <t>biological mother</t>
  </si>
  <si>
    <t>biological father</t>
  </si>
  <si>
    <t>biological parents in extended family</t>
  </si>
  <si>
    <t>biological mother in extended family</t>
  </si>
  <si>
    <t>biological father in extended family</t>
  </si>
  <si>
    <t>maternal grandparents</t>
  </si>
  <si>
    <t>paternal grandparents</t>
  </si>
  <si>
    <t>other non-adoptive relative</t>
  </si>
  <si>
    <t>relative adoptive parent</t>
  </si>
  <si>
    <t>non-relative adoptive parent</t>
  </si>
  <si>
    <t>friends of family</t>
  </si>
  <si>
    <t>foster family home of relative</t>
  </si>
  <si>
    <t>foster family home of non-relative</t>
  </si>
  <si>
    <t>pre-adoptive home</t>
  </si>
  <si>
    <t>chronic care facility</t>
  </si>
  <si>
    <t>group home</t>
  </si>
  <si>
    <t>no stable caretaker</t>
  </si>
  <si>
    <t>biological mother and significant other male</t>
  </si>
  <si>
    <t>biological mother and significant other female</t>
  </si>
  <si>
    <t>biological father and significant other male</t>
  </si>
  <si>
    <t>biological father and significant other female</t>
  </si>
  <si>
    <t>yes, but stopped</t>
  </si>
  <si>
    <t>yes, still using</t>
  </si>
  <si>
    <t>strabismus</t>
  </si>
  <si>
    <t>cataract</t>
  </si>
  <si>
    <t>ROP</t>
  </si>
  <si>
    <t>before 1st birthday</t>
  </si>
  <si>
    <t>after 1st birthday</t>
  </si>
  <si>
    <t>1 week or less</t>
  </si>
  <si>
    <t>more than 1 week</t>
  </si>
  <si>
    <t>respiratory</t>
  </si>
  <si>
    <t>CNS</t>
  </si>
  <si>
    <t>infection</t>
  </si>
  <si>
    <t>growth and nutrition</t>
  </si>
  <si>
    <t>environmental</t>
  </si>
  <si>
    <t>reflux</t>
  </si>
  <si>
    <t>apparent life threatening event</t>
  </si>
  <si>
    <t>trauma (accidental)</t>
  </si>
  <si>
    <t>trauma (non-accidental)</t>
  </si>
  <si>
    <t>vomitting, diarrhea, dehydration</t>
  </si>
  <si>
    <t>sleep study</t>
  </si>
  <si>
    <t>yes</t>
  </si>
  <si>
    <t>suspect</t>
  </si>
  <si>
    <t>untestable</t>
  </si>
  <si>
    <t>wears or prescribed corrective lenses</t>
  </si>
  <si>
    <t>other abnormality</t>
  </si>
  <si>
    <t>blind some functional vision</t>
  </si>
  <si>
    <t>blind no useful vision</t>
  </si>
  <si>
    <t>pass</t>
  </si>
  <si>
    <t>fail</t>
  </si>
  <si>
    <t>equivocal</t>
  </si>
  <si>
    <t>no apparent functional impairment</t>
  </si>
  <si>
    <t>impairment</t>
  </si>
  <si>
    <t>right only</t>
  </si>
  <si>
    <t>left only</t>
  </si>
  <si>
    <t>both</t>
  </si>
  <si>
    <t>abnormal</t>
  </si>
  <si>
    <t>tube fed</t>
  </si>
  <si>
    <t>suspect increased</t>
  </si>
  <si>
    <t>definite increased</t>
  </si>
  <si>
    <t>suspect decreased</t>
  </si>
  <si>
    <t>definite decreased</t>
  </si>
  <si>
    <t>varying tone</t>
  </si>
  <si>
    <t>possible level 1</t>
  </si>
  <si>
    <t>level 1</t>
  </si>
  <si>
    <t>level 2</t>
  </si>
  <si>
    <t>level 3</t>
  </si>
  <si>
    <t>level 4</t>
  </si>
  <si>
    <t>level 5</t>
  </si>
  <si>
    <t>exaggerated right</t>
  </si>
  <si>
    <t>exaggerated left</t>
  </si>
  <si>
    <t>symmetry</t>
  </si>
  <si>
    <t>asymmetry</t>
  </si>
  <si>
    <t>not present</t>
  </si>
  <si>
    <t>symmetrical</t>
  </si>
  <si>
    <t>more on right</t>
  </si>
  <si>
    <t>more on left</t>
  </si>
  <si>
    <t>normal (1 to 3+)</t>
  </si>
  <si>
    <t>absent (0)</t>
  </si>
  <si>
    <t>hyperactive (4+)</t>
  </si>
  <si>
    <t>none (≤ 4 beats)</t>
  </si>
  <si>
    <t>present (&gt; 4 beats)</t>
  </si>
  <si>
    <t>sustained</t>
  </si>
  <si>
    <t>flexor plantar response</t>
  </si>
  <si>
    <t>extensor plantar response</t>
  </si>
  <si>
    <t>spontaneous extension ± fanning</t>
  </si>
  <si>
    <t>inconsistent results</t>
  </si>
  <si>
    <t>normal head control</t>
  </si>
  <si>
    <t>abnormal, but can hold head up for extended period (&gt; 5 mins)</t>
  </si>
  <si>
    <t>poor head control but can hold head up for short period</t>
  </si>
  <si>
    <t>no obvious head control</t>
  </si>
  <si>
    <t>no apparent problem</t>
  </si>
  <si>
    <t>can sit unsupported but less secure and stable than normal child of same age</t>
  </si>
  <si>
    <t>cannot be left in sitting position unless self-supported</t>
  </si>
  <si>
    <t>servere impairment: difficult to place or maintain in sitting position</t>
  </si>
  <si>
    <t>no significant problem with gait, walks fluently</t>
  </si>
  <si>
    <t>gait functional but not fluent, no device required</t>
  </si>
  <si>
    <t>gait functional, non-fluent and requires device</t>
  </si>
  <si>
    <t>no independent walking</t>
  </si>
  <si>
    <t>no apparent problem with bimanual tasks</t>
  </si>
  <si>
    <t>some difficulty using both hands together</t>
  </si>
  <si>
    <t>no functional bimanual task</t>
  </si>
  <si>
    <t>fine pincer grasp</t>
  </si>
  <si>
    <t>finger-thumb grasp</t>
  </si>
  <si>
    <t>more than one finger-thumb grasp</t>
  </si>
  <si>
    <t>tries but unable to grasp</t>
  </si>
  <si>
    <t>does not attempt to grasp</t>
  </si>
  <si>
    <t>refusal</t>
  </si>
  <si>
    <t>cannot access</t>
  </si>
  <si>
    <t>good</t>
  </si>
  <si>
    <t>fair</t>
  </si>
  <si>
    <t>poor</t>
  </si>
  <si>
    <t>illness</t>
  </si>
  <si>
    <t>language other than English and interpreter not available</t>
  </si>
  <si>
    <t>behavioral problems</t>
  </si>
  <si>
    <t>severely developmentally delayed plus may have sensory impairment</t>
  </si>
  <si>
    <t>sensory impairment - appears mild or moderate delayed for age</t>
  </si>
  <si>
    <t>sensory impairment - but appears to be within normal limits for age</t>
  </si>
  <si>
    <t>severely developmentally delayed</t>
  </si>
  <si>
    <t>servere cerebral palsy</t>
  </si>
  <si>
    <t>anatomic abnormalities of hand / feet</t>
  </si>
  <si>
    <t>child seen, follow-up visit completed</t>
  </si>
  <si>
    <t>died after initial discharge to home</t>
  </si>
  <si>
    <t>lost to follow-up</t>
  </si>
  <si>
    <t>follow-up visit completed in another NRN center</t>
  </si>
  <si>
    <t>child seen, but follow-up visit incomplete</t>
  </si>
  <si>
    <t>adopted</t>
  </si>
  <si>
    <t>out of area</t>
  </si>
  <si>
    <t>lost</t>
  </si>
  <si>
    <t>refused informed consent for follow-up</t>
  </si>
  <si>
    <t>non compliant</t>
  </si>
  <si>
    <t>foster care</t>
  </si>
  <si>
    <t>very good</t>
  </si>
  <si>
    <t>excellent</t>
  </si>
  <si>
    <t>&lt;HS</t>
  </si>
  <si>
    <t>HS</t>
  </si>
  <si>
    <t>&gt;HS</t>
  </si>
  <si>
    <t>Black</t>
  </si>
  <si>
    <t>White</t>
  </si>
  <si>
    <t>primary</t>
  </si>
  <si>
    <t>secondary</t>
  </si>
  <si>
    <t>yes but hemispheric devastation</t>
  </si>
  <si>
    <t>-3</t>
  </si>
  <si>
    <t>no lesion</t>
  </si>
  <si>
    <t>-1</t>
  </si>
  <si>
    <t>FALSE</t>
  </si>
  <si>
    <t>TRUE</t>
  </si>
  <si>
    <t>0-1</t>
  </si>
  <si>
    <t>2-3</t>
  </si>
  <si>
    <t>2 Abnormal</t>
  </si>
  <si>
    <t>normal with other findings</t>
  </si>
  <si>
    <t>3 Normal with other findings</t>
  </si>
  <si>
    <t>0-Normal</t>
  </si>
  <si>
    <t>2-BGT</t>
  </si>
  <si>
    <t>2-WS</t>
  </si>
  <si>
    <t>3-Hemi</t>
  </si>
  <si>
    <t>Has primary</t>
  </si>
  <si>
    <t>Death</t>
  </si>
  <si>
    <t>cord</t>
  </si>
  <si>
    <t>Cord</t>
  </si>
  <si>
    <t>postnatal</t>
  </si>
  <si>
    <t>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</si>
</sst>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b/>
      <color rgb="FFFF00FF"/>
      <name val="Arial"/>
    </font>
    <font>
      <color rgb="FFFF00FF"/>
      <name val="Arial"/>
    </font>
    <font>
      <sz val="11.0"/>
      <color theme="1"/>
      <name val="Calibri"/>
    </font>
    <font>
      <color rgb="FFFF9900"/>
      <name val="Arial"/>
    </font>
    <font>
      <b/>
      <color theme="1"/>
      <name val="Arial"/>
      <scheme val="minor"/>
    </font>
    <font>
      <sz val="11.0"/>
      <color rgb="FFFF00FF"/>
      <name val="Calibri"/>
    </font>
    <font>
      <sz val="11.0"/>
      <color rgb="FFFF9900"/>
      <name val="Calibri"/>
    </font>
    <font>
      <color theme="1"/>
      <name val="Arial"/>
      <scheme val="minor"/>
    </font>
    <font>
      <color rgb="FFFF00FF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Ui-sans-serif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DDA"/>
        <bgColor rgb="FFFFEDDA"/>
      </patternFill>
    </fill>
    <fill>
      <patternFill patternType="solid">
        <fgColor rgb="FFE0F0FF"/>
        <bgColor rgb="FFE0F0FF"/>
      </patternFill>
    </fill>
    <fill>
      <patternFill patternType="solid">
        <fgColor rgb="FFFFF698"/>
        <bgColor rgb="FFFFF698"/>
      </patternFill>
    </fill>
    <fill>
      <patternFill patternType="solid">
        <fgColor rgb="FFF4CCE6"/>
        <bgColor rgb="FFF4CCE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3" fontId="9" numFmtId="0" xfId="0" applyAlignment="1" applyFont="1">
      <alignment vertical="bottom"/>
    </xf>
    <xf borderId="1" fillId="3" fontId="8" numFmtId="0" xfId="0" applyAlignment="1" applyBorder="1" applyFont="1">
      <alignment shrinkToFit="0" vertical="bottom" wrapText="1"/>
    </xf>
    <xf borderId="0" fillId="3" fontId="10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1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2" fillId="4" fontId="8" numFmtId="0" xfId="0" applyAlignment="1" applyBorder="1" applyFont="1">
      <alignment vertical="bottom"/>
    </xf>
    <xf borderId="0" fillId="4" fontId="11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9" numFmtId="0" xfId="0" applyAlignment="1" applyFont="1">
      <alignment vertical="bottom"/>
    </xf>
    <xf borderId="2" fillId="4" fontId="12" numFmtId="0" xfId="0" applyAlignment="1" applyBorder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3" numFmtId="0" xfId="0" applyAlignment="1" applyFont="1">
      <alignment horizontal="center" vertical="bottom"/>
    </xf>
    <xf borderId="0" fillId="5" fontId="7" numFmtId="0" xfId="0" applyAlignment="1" applyFont="1">
      <alignment vertical="bottom"/>
    </xf>
    <xf borderId="0" fillId="5" fontId="2" numFmtId="0" xfId="0" applyAlignment="1" applyFont="1">
      <alignment shrinkToFit="0" vertical="bottom" wrapText="1"/>
    </xf>
    <xf borderId="2" fillId="5" fontId="5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2" fillId="5" fontId="8" numFmtId="0" xfId="0" applyAlignment="1" applyBorder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1" fillId="5" fontId="8" numFmtId="0" xfId="0" applyAlignment="1" applyBorder="1" applyFont="1">
      <alignment shrinkToFit="0" vertical="bottom" wrapText="1"/>
    </xf>
    <xf borderId="0" fillId="6" fontId="3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center" vertical="bottom"/>
    </xf>
    <xf borderId="0" fillId="6" fontId="10" numFmtId="0" xfId="0" applyAlignment="1" applyFont="1">
      <alignment readingOrder="0"/>
    </xf>
    <xf borderId="0" fillId="6" fontId="8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13" numFmtId="0" xfId="0" applyFont="1"/>
    <xf borderId="0" fillId="6" fontId="6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vertical="bottom"/>
    </xf>
    <xf borderId="0" fillId="6" fontId="8" numFmtId="0" xfId="0" applyAlignment="1" applyFont="1">
      <alignment vertical="bottom"/>
    </xf>
    <xf borderId="3" fillId="6" fontId="8" numFmtId="0" xfId="0" applyAlignment="1" applyBorder="1" applyFont="1">
      <alignment vertical="bottom"/>
    </xf>
    <xf borderId="0" fillId="6" fontId="5" numFmtId="0" xfId="0" applyAlignment="1" applyFont="1">
      <alignment shrinkToFit="0" vertical="bottom" wrapText="1"/>
    </xf>
    <xf borderId="0" fillId="7" fontId="3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7" fontId="3" numFmtId="0" xfId="0" applyAlignment="1" applyFont="1">
      <alignment horizontal="center" vertical="bottom"/>
    </xf>
    <xf borderId="0" fillId="7" fontId="5" numFmtId="0" xfId="0" applyAlignment="1" applyFont="1">
      <alignment shrinkToFit="0" vertical="bottom" wrapText="1"/>
    </xf>
    <xf borderId="0" fillId="7" fontId="3" numFmtId="0" xfId="0" applyAlignment="1" applyFont="1">
      <alignment readingOrder="0" vertical="bottom"/>
    </xf>
    <xf borderId="0" fillId="7" fontId="8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10" numFmtId="0" xfId="0" applyAlignment="1" applyFont="1">
      <alignment readingOrder="0"/>
    </xf>
    <xf borderId="0" fillId="7" fontId="3" numFmtId="0" xfId="0" applyAlignment="1" applyFont="1">
      <alignment shrinkToFit="0" vertical="bottom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8" fontId="15" numFmtId="0" xfId="0" applyAlignment="1" applyFill="1" applyFont="1">
      <alignment readingOrder="0" shrinkToFit="0" vertical="bottom" wrapText="0"/>
    </xf>
    <xf borderId="0" fillId="8" fontId="16" numFmtId="0" xfId="0" applyAlignment="1" applyFont="1">
      <alignment readingOrder="0" vertical="bottom"/>
    </xf>
    <xf borderId="0" fillId="8" fontId="16" numFmtId="0" xfId="0" applyAlignment="1" applyFont="1">
      <alignment vertical="bottom"/>
    </xf>
    <xf borderId="0" fillId="8" fontId="10" numFmtId="0" xfId="0" applyAlignment="1" applyFont="1">
      <alignment readingOrder="0"/>
    </xf>
    <xf borderId="0" fillId="8" fontId="10" numFmtId="0" xfId="0" applyAlignment="1" applyFont="1">
      <alignment readingOrder="0" shrinkToFit="0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9" fontId="7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3" numFmtId="49" xfId="0" applyAlignment="1" applyFont="1" applyNumberFormat="1">
      <alignment readingOrder="0"/>
    </xf>
    <xf borderId="0" fillId="0" fontId="13" numFmtId="49" xfId="0" applyFont="1" applyNumberFormat="1"/>
    <xf borderId="4" fillId="0" fontId="8" numFmtId="0" xfId="0" applyAlignment="1" applyBorder="1" applyFont="1">
      <alignment shrinkToFit="0" vertical="bottom" wrapText="1"/>
    </xf>
    <xf borderId="4" fillId="0" fontId="8" numFmtId="49" xfId="0" applyAlignment="1" applyBorder="1" applyFont="1" applyNumberForma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49" xfId="0" applyAlignment="1" applyBorder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6" fillId="0" fontId="8" numFmtId="0" xfId="0" applyAlignment="1" applyBorder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4" fillId="0" fontId="8" numFmtId="49" xfId="0" applyAlignment="1" applyBorder="1" applyFont="1" applyNumberFormat="1">
      <alignment readingOrder="0" shrinkToFit="0" vertical="bottom" wrapText="1"/>
    </xf>
    <xf borderId="5" fillId="0" fontId="8" numFmtId="49" xfId="0" applyAlignment="1" applyBorder="1" applyFont="1" applyNumberFormat="1">
      <alignment readingOrder="0" shrinkToFit="0" vertical="bottom" wrapText="1"/>
    </xf>
    <xf borderId="6" fillId="0" fontId="8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readingOrder="0" shrinkToFit="0" vertical="bottom" wrapText="1"/>
    </xf>
    <xf borderId="7" fillId="0" fontId="8" numFmtId="49" xfId="0" applyAlignment="1" applyBorder="1" applyFont="1" applyNumberFormat="1">
      <alignment readingOrder="0"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13" numFmtId="49" xfId="0" applyAlignment="1" applyFont="1" applyNumberFormat="1">
      <alignment horizontal="left" readingOrder="0" shrinkToFit="0" wrapText="1"/>
    </xf>
    <xf borderId="0" fillId="0" fontId="16" numFmtId="49" xfId="0" applyAlignment="1" applyFont="1" applyNumberFormat="1">
      <alignment readingOrder="0"/>
    </xf>
    <xf borderId="0" fillId="9" fontId="17" numFmtId="49" xfId="0" applyAlignment="1" applyFont="1" applyNumberFormat="1">
      <alignment horizontal="left" readingOrder="0"/>
    </xf>
    <xf borderId="0" fillId="9" fontId="16" numFmtId="49" xfId="0" applyAlignment="1" applyFont="1" applyNumberFormat="1">
      <alignment horizontal="left" readingOrder="0"/>
    </xf>
    <xf borderId="6" fillId="0" fontId="8" numFmtId="49" xfId="0" applyAlignment="1" applyBorder="1" applyFont="1" applyNumberFormat="1">
      <alignment readingOrder="0" shrinkToFit="0" vertical="bottom" wrapText="1"/>
    </xf>
    <xf borderId="0" fillId="0" fontId="18" numFmtId="49" xfId="0" applyAlignment="1" applyFont="1" applyNumberFormat="1">
      <alignment horizontal="left" readingOrder="0"/>
    </xf>
    <xf borderId="4" fillId="0" fontId="16" numFmtId="0" xfId="0" applyAlignment="1" applyBorder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4" fillId="0" fontId="16" numFmtId="49" xfId="0" applyAlignment="1" applyBorder="1" applyFont="1" applyNumberFormat="1">
      <alignment readingOrder="0" shrinkToFit="0" wrapText="1"/>
    </xf>
    <xf borderId="0" fillId="0" fontId="16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1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0" Type="http://schemas.openxmlformats.org/officeDocument/2006/relationships/worksheet" Target="worksheets/sheet12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6.25"/>
    <col customWidth="1" min="2" max="2" width="19.88"/>
    <col customWidth="1" min="3" max="3" width="45.38"/>
    <col customWidth="1" min="4" max="4" width="27.88"/>
    <col customWidth="1" min="7" max="7" width="41.25"/>
    <col hidden="1" min="9" max="11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</row>
    <row r="2">
      <c r="A2" s="5" t="s">
        <v>13</v>
      </c>
      <c r="B2" s="6" t="s">
        <v>14</v>
      </c>
      <c r="C2" s="7" t="s">
        <v>15</v>
      </c>
      <c r="D2" s="7" t="s">
        <v>15</v>
      </c>
      <c r="E2" s="8" t="s">
        <v>16</v>
      </c>
      <c r="F2" s="9">
        <f t="shared" ref="F2:F3" si="1">counta(L2:M2)</f>
        <v>2</v>
      </c>
      <c r="G2" s="7" t="s">
        <v>15</v>
      </c>
      <c r="H2" s="10"/>
      <c r="I2" s="7" t="str">
        <f>IFERROR(__xludf.DUMMYFUNCTION("regexreplace(lower(C2), ""_"", """")"),"center")</f>
        <v>center</v>
      </c>
      <c r="J2" s="9" t="b">
        <f t="shared" ref="J2:J1586" si="2">IF(EQ(I2, ""), "", exact(I2, K2))</f>
        <v>1</v>
      </c>
      <c r="K2" s="7" t="str">
        <f>IFERROR(__xludf.DUMMYFUNCTION("regexreplace(G2, ""_"", """")"),"center")</f>
        <v>center</v>
      </c>
      <c r="L2" s="8" t="s">
        <v>17</v>
      </c>
      <c r="M2" s="8" t="s">
        <v>17</v>
      </c>
    </row>
    <row r="3">
      <c r="A3" s="10"/>
      <c r="B3" s="6" t="s">
        <v>14</v>
      </c>
      <c r="C3" s="11" t="s">
        <v>18</v>
      </c>
      <c r="D3" s="7" t="s">
        <v>19</v>
      </c>
      <c r="E3" s="8" t="s">
        <v>20</v>
      </c>
      <c r="F3" s="9">
        <f t="shared" si="1"/>
        <v>2</v>
      </c>
      <c r="G3" s="7" t="s">
        <v>21</v>
      </c>
      <c r="H3" s="10"/>
      <c r="I3" s="7" t="str">
        <f>IFERROR(__xludf.DUMMYFUNCTION("regexreplace(lower(C3), ""_"", """")"),"subjectid")</f>
        <v>subjectid</v>
      </c>
      <c r="J3" s="9" t="b">
        <f t="shared" si="2"/>
        <v>1</v>
      </c>
      <c r="K3" s="7" t="str">
        <f>IFERROR(__xludf.DUMMYFUNCTION("regexreplace(G3, ""_"", """")"),"subjectid")</f>
        <v>subjectid</v>
      </c>
      <c r="L3" s="8" t="s">
        <v>22</v>
      </c>
      <c r="M3" s="8" t="s">
        <v>22</v>
      </c>
    </row>
    <row r="4">
      <c r="A4" s="12"/>
      <c r="B4" s="12"/>
      <c r="C4" s="13"/>
      <c r="D4" s="12"/>
      <c r="E4" s="12"/>
      <c r="F4" s="12"/>
      <c r="G4" s="12"/>
      <c r="H4" s="12"/>
      <c r="I4" s="13" t="str">
        <f>IFERROR(__xludf.DUMMYFUNCTION("regexreplace(lower(C4), ""_"", """")"),"")</f>
        <v/>
      </c>
      <c r="J4" s="14" t="str">
        <f t="shared" si="2"/>
        <v/>
      </c>
      <c r="K4" s="13" t="str">
        <f>IFERROR(__xludf.DUMMYFUNCTION("regexreplace(G4, ""_"", """")"),"")</f>
        <v/>
      </c>
      <c r="L4" s="12"/>
      <c r="M4" s="12"/>
    </row>
    <row r="5">
      <c r="A5" s="5" t="s">
        <v>13</v>
      </c>
      <c r="B5" s="5" t="s">
        <v>23</v>
      </c>
      <c r="C5" s="7" t="s">
        <v>24</v>
      </c>
      <c r="D5" s="7" t="s">
        <v>19</v>
      </c>
      <c r="E5" s="15" t="s">
        <v>25</v>
      </c>
      <c r="F5" s="9">
        <f t="shared" ref="F5:F48" si="3">counta(L5:M5)</f>
        <v>2</v>
      </c>
      <c r="G5" s="7" t="s">
        <v>26</v>
      </c>
      <c r="H5" s="10"/>
      <c r="I5" s="7" t="str">
        <f>IFERROR(__xludf.DUMMYFUNCTION("regexreplace(lower(C5), ""_"", """")"),"siteid")</f>
        <v>siteid</v>
      </c>
      <c r="J5" s="9" t="b">
        <f t="shared" si="2"/>
        <v>1</v>
      </c>
      <c r="K5" s="7" t="str">
        <f>IFERROR(__xludf.DUMMYFUNCTION("regexreplace(G5, ""_"", """")"),"siteid")</f>
        <v>siteid</v>
      </c>
      <c r="L5" s="10" t="s">
        <v>27</v>
      </c>
      <c r="M5" s="10" t="s">
        <v>27</v>
      </c>
    </row>
    <row r="6">
      <c r="A6" s="10"/>
      <c r="B6" s="5" t="s">
        <v>23</v>
      </c>
      <c r="C6" s="7" t="s">
        <v>28</v>
      </c>
      <c r="D6" s="7" t="s">
        <v>29</v>
      </c>
      <c r="E6" s="10" t="s">
        <v>30</v>
      </c>
      <c r="F6" s="9">
        <f t="shared" si="3"/>
        <v>2</v>
      </c>
      <c r="G6" s="7" t="s">
        <v>31</v>
      </c>
      <c r="H6" s="10"/>
      <c r="I6" s="7" t="str">
        <f>IFERROR(__xludf.DUMMYFUNCTION("regexreplace(lower(C6), ""_"", """")"),"birthdate")</f>
        <v>birthdate</v>
      </c>
      <c r="J6" s="9" t="b">
        <f t="shared" si="2"/>
        <v>1</v>
      </c>
      <c r="K6" s="7" t="str">
        <f>IFERROR(__xludf.DUMMYFUNCTION("regexreplace(G6, ""_"", """")"),"birthdate")</f>
        <v>birthdate</v>
      </c>
      <c r="L6" s="10" t="s">
        <v>32</v>
      </c>
      <c r="M6" s="10" t="s">
        <v>32</v>
      </c>
    </row>
    <row r="7">
      <c r="A7" s="10"/>
      <c r="B7" s="5" t="s">
        <v>23</v>
      </c>
      <c r="C7" s="7" t="s">
        <v>33</v>
      </c>
      <c r="D7" s="7" t="s">
        <v>34</v>
      </c>
      <c r="E7" s="10" t="s">
        <v>35</v>
      </c>
      <c r="F7" s="9">
        <f t="shared" si="3"/>
        <v>2</v>
      </c>
      <c r="G7" s="7" t="s">
        <v>36</v>
      </c>
      <c r="H7" s="10"/>
      <c r="I7" s="7" t="str">
        <f>IFERROR(__xludf.DUMMYFUNCTION("regexreplace(lower(C7), ""_"", """")"),"birthnumber")</f>
        <v>birthnumber</v>
      </c>
      <c r="J7" s="9" t="b">
        <f t="shared" si="2"/>
        <v>1</v>
      </c>
      <c r="K7" s="7" t="str">
        <f>IFERROR(__xludf.DUMMYFUNCTION("regexreplace(G7, ""_"", """")"),"birthnumber")</f>
        <v>birthnumber</v>
      </c>
      <c r="L7" s="10" t="s">
        <v>37</v>
      </c>
      <c r="M7" s="10" t="s">
        <v>37</v>
      </c>
    </row>
    <row r="8">
      <c r="A8" s="10"/>
      <c r="B8" s="5" t="s">
        <v>23</v>
      </c>
      <c r="C8" s="7" t="s">
        <v>38</v>
      </c>
      <c r="D8" s="7" t="s">
        <v>19</v>
      </c>
      <c r="E8" s="10" t="s">
        <v>39</v>
      </c>
      <c r="F8" s="9">
        <f t="shared" si="3"/>
        <v>1</v>
      </c>
      <c r="G8" s="7" t="s">
        <v>40</v>
      </c>
      <c r="H8" s="10"/>
      <c r="I8" s="7" t="str">
        <f>IFERROR(__xludf.DUMMYFUNCTION("regexreplace(lower(C8), ""_"", """")"),"screencomment")</f>
        <v>screencomment</v>
      </c>
      <c r="J8" s="9" t="b">
        <f t="shared" si="2"/>
        <v>1</v>
      </c>
      <c r="K8" s="7" t="str">
        <f>IFERROR(__xludf.DUMMYFUNCTION("regexreplace(G8, ""_"", """")"),"screencomment")</f>
        <v>screencomment</v>
      </c>
      <c r="L8" s="10"/>
      <c r="M8" s="10" t="s">
        <v>41</v>
      </c>
    </row>
    <row r="9">
      <c r="A9" s="10"/>
      <c r="B9" s="5" t="s">
        <v>23</v>
      </c>
      <c r="C9" s="16" t="s">
        <v>42</v>
      </c>
      <c r="D9" s="7" t="s">
        <v>43</v>
      </c>
      <c r="E9" s="10" t="s">
        <v>44</v>
      </c>
      <c r="F9" s="9">
        <f t="shared" si="3"/>
        <v>1</v>
      </c>
      <c r="G9" s="16" t="s">
        <v>45</v>
      </c>
      <c r="H9" s="10"/>
      <c r="I9" s="7" t="str">
        <f>IFERROR(__xludf.DUMMYFUNCTION("regexreplace(lower(C9), ""_"", """")"),"coretempless32p5cgreatereq2hre")</f>
        <v>coretempless32p5cgreatereq2hre</v>
      </c>
      <c r="J9" s="9" t="b">
        <f t="shared" si="2"/>
        <v>1</v>
      </c>
      <c r="K9" s="7" t="str">
        <f>IFERROR(__xludf.DUMMYFUNCTION("regexreplace(G9, ""_"", """")"),"coretempless32p5cgreatereq2hre")</f>
        <v>coretempless32p5cgreatereq2hre</v>
      </c>
      <c r="L9" s="10"/>
      <c r="M9" s="10" t="s">
        <v>46</v>
      </c>
    </row>
    <row r="10">
      <c r="A10" s="10"/>
      <c r="B10" s="5" t="s">
        <v>23</v>
      </c>
      <c r="C10" s="16" t="s">
        <v>47</v>
      </c>
      <c r="D10" s="7" t="s">
        <v>43</v>
      </c>
      <c r="E10" s="10" t="s">
        <v>48</v>
      </c>
      <c r="F10" s="9">
        <f t="shared" si="3"/>
        <v>1</v>
      </c>
      <c r="G10" s="16" t="s">
        <v>49</v>
      </c>
      <c r="H10" s="10"/>
      <c r="I10" s="7" t="str">
        <f>IFERROR(__xludf.DUMMYFUNCTION("regexreplace(lower(C10), ""_"", """")"),"coretempless33p5cgreater1hre")</f>
        <v>coretempless33p5cgreater1hre</v>
      </c>
      <c r="J10" s="9" t="b">
        <f t="shared" si="2"/>
        <v>1</v>
      </c>
      <c r="K10" s="7" t="str">
        <f>IFERROR(__xludf.DUMMYFUNCTION("regexreplace(G10, ""_"", """")"),"coretempless33p5cgreater1hre")</f>
        <v>coretempless33p5cgreater1hre</v>
      </c>
      <c r="L10" s="10"/>
      <c r="M10" s="10" t="s">
        <v>50</v>
      </c>
    </row>
    <row r="11">
      <c r="A11" s="10"/>
      <c r="B11" s="5" t="s">
        <v>23</v>
      </c>
      <c r="C11" s="16" t="s">
        <v>51</v>
      </c>
      <c r="D11" s="7" t="s">
        <v>43</v>
      </c>
      <c r="E11" s="10" t="s">
        <v>52</v>
      </c>
      <c r="F11" s="9">
        <f t="shared" si="3"/>
        <v>1</v>
      </c>
      <c r="G11" s="16" t="s">
        <v>53</v>
      </c>
      <c r="H11" s="10"/>
      <c r="I11" s="7" t="str">
        <f>IFERROR(__xludf.DUMMYFUNCTION("regexreplace(lower(C11), ""_"", """")"),"coretempless34cgreater1hre")</f>
        <v>coretempless34cgreater1hre</v>
      </c>
      <c r="J11" s="9" t="b">
        <f t="shared" si="2"/>
        <v>1</v>
      </c>
      <c r="K11" s="7" t="str">
        <f>IFERROR(__xludf.DUMMYFUNCTION("regexreplace(G11, ""_"", """")"),"coretempless34cgreater1hre")</f>
        <v>coretempless34cgreater1hre</v>
      </c>
      <c r="L11" s="10" t="s">
        <v>54</v>
      </c>
      <c r="M11" s="10"/>
    </row>
    <row r="12">
      <c r="A12" s="10"/>
      <c r="B12" s="5" t="s">
        <v>23</v>
      </c>
      <c r="C12" s="7" t="s">
        <v>55</v>
      </c>
      <c r="D12" s="7" t="s">
        <v>43</v>
      </c>
      <c r="E12" s="17" t="s">
        <v>56</v>
      </c>
      <c r="F12" s="9">
        <f t="shared" si="3"/>
        <v>2</v>
      </c>
      <c r="G12" s="7" t="s">
        <v>57</v>
      </c>
      <c r="H12" s="10"/>
      <c r="I12" s="7" t="str">
        <f>IFERROR(__xludf.DUMMYFUNCTION("regexreplace(lower(C12), ""_"", """")"),"first6hrcoolbyclinicalprotocole")</f>
        <v>first6hrcoolbyclinicalprotocole</v>
      </c>
      <c r="J12" s="9" t="b">
        <f t="shared" si="2"/>
        <v>1</v>
      </c>
      <c r="K12" s="7" t="str">
        <f>IFERROR(__xludf.DUMMYFUNCTION("regexreplace(G12, ""_"", """")"),"first6hrcoolbyclinicalprotocole")</f>
        <v>first6hrcoolbyclinicalprotocole</v>
      </c>
      <c r="L12" s="17" t="s">
        <v>58</v>
      </c>
      <c r="M12" s="10" t="s">
        <v>59</v>
      </c>
    </row>
    <row r="13">
      <c r="A13" s="10"/>
      <c r="B13" s="5" t="s">
        <v>23</v>
      </c>
      <c r="C13" s="7" t="s">
        <v>60</v>
      </c>
      <c r="D13" s="7" t="s">
        <v>43</v>
      </c>
      <c r="E13" s="10" t="s">
        <v>61</v>
      </c>
      <c r="F13" s="9">
        <f t="shared" si="3"/>
        <v>2</v>
      </c>
      <c r="G13" s="7" t="s">
        <v>62</v>
      </c>
      <c r="H13" s="10"/>
      <c r="I13" s="7" t="str">
        <f>IFERROR(__xludf.DUMMYFUNCTION("regexreplace(lower(C13), ""_"", """")"),"chromosomalabnormalitye")</f>
        <v>chromosomalabnormalitye</v>
      </c>
      <c r="J13" s="9" t="b">
        <f t="shared" si="2"/>
        <v>1</v>
      </c>
      <c r="K13" s="7" t="str">
        <f>IFERROR(__xludf.DUMMYFUNCTION("regexreplace(G13, ""_"", """")"),"chromosomalabnormalitye")</f>
        <v>chromosomalabnormalitye</v>
      </c>
      <c r="L13" s="10" t="s">
        <v>63</v>
      </c>
      <c r="M13" s="10" t="s">
        <v>64</v>
      </c>
    </row>
    <row r="14">
      <c r="A14" s="10"/>
      <c r="B14" s="5" t="s">
        <v>23</v>
      </c>
      <c r="C14" s="7" t="s">
        <v>65</v>
      </c>
      <c r="D14" s="7" t="s">
        <v>43</v>
      </c>
      <c r="E14" s="10" t="s">
        <v>66</v>
      </c>
      <c r="F14" s="9">
        <f t="shared" si="3"/>
        <v>2</v>
      </c>
      <c r="G14" s="7" t="s">
        <v>67</v>
      </c>
      <c r="H14" s="10"/>
      <c r="I14" s="7" t="str">
        <f>IFERROR(__xludf.DUMMYFUNCTION("regexreplace(lower(C14), ""_"", """")"),"majorcongenitalanomalye")</f>
        <v>majorcongenitalanomalye</v>
      </c>
      <c r="J14" s="9" t="b">
        <f t="shared" si="2"/>
        <v>1</v>
      </c>
      <c r="K14" s="7" t="str">
        <f>IFERROR(__xludf.DUMMYFUNCTION("regexreplace(G14, ""_"", """")"),"majorcongenitalanomalye")</f>
        <v>majorcongenitalanomalye</v>
      </c>
      <c r="L14" s="10" t="s">
        <v>68</v>
      </c>
      <c r="M14" s="10" t="s">
        <v>69</v>
      </c>
    </row>
    <row r="15">
      <c r="A15" s="10"/>
      <c r="B15" s="5" t="s">
        <v>23</v>
      </c>
      <c r="C15" s="7" t="s">
        <v>70</v>
      </c>
      <c r="D15" s="7" t="s">
        <v>43</v>
      </c>
      <c r="E15" s="10" t="s">
        <v>71</v>
      </c>
      <c r="F15" s="9">
        <f t="shared" si="3"/>
        <v>2</v>
      </c>
      <c r="G15" s="7" t="s">
        <v>72</v>
      </c>
      <c r="H15" s="10"/>
      <c r="I15" s="7" t="str">
        <f>IFERROR(__xludf.DUMMYFUNCTION("regexreplace(lower(C15), ""_"", """")"),"birthweightlesseq1800ge")</f>
        <v>birthweightlesseq1800ge</v>
      </c>
      <c r="J15" s="9" t="b">
        <f t="shared" si="2"/>
        <v>1</v>
      </c>
      <c r="K15" s="7" t="str">
        <f>IFERROR(__xludf.DUMMYFUNCTION("regexreplace(G15, ""_"", """")"),"birthweightlesseq1800ge")</f>
        <v>birthweightlesseq1800ge</v>
      </c>
      <c r="L15" s="10" t="s">
        <v>73</v>
      </c>
      <c r="M15" s="10" t="s">
        <v>74</v>
      </c>
    </row>
    <row r="16">
      <c r="A16" s="10"/>
      <c r="B16" s="5" t="s">
        <v>23</v>
      </c>
      <c r="C16" s="7" t="s">
        <v>75</v>
      </c>
      <c r="D16" s="7" t="s">
        <v>43</v>
      </c>
      <c r="E16" s="10" t="s">
        <v>76</v>
      </c>
      <c r="F16" s="9">
        <f t="shared" si="3"/>
        <v>2</v>
      </c>
      <c r="G16" s="7" t="s">
        <v>77</v>
      </c>
      <c r="H16" s="10"/>
      <c r="I16" s="7" t="str">
        <f>IFERROR(__xludf.DUMMYFUNCTION("regexreplace(lower(C16), ""_"", """")"),"infantunlikelysurvivee")</f>
        <v>infantunlikelysurvivee</v>
      </c>
      <c r="J16" s="9" t="b">
        <f t="shared" si="2"/>
        <v>1</v>
      </c>
      <c r="K16" s="7" t="str">
        <f>IFERROR(__xludf.DUMMYFUNCTION("regexreplace(G16, ""_"", """")"),"infantunlikelysurvivee")</f>
        <v>infantunlikelysurvivee</v>
      </c>
      <c r="L16" s="10" t="s">
        <v>78</v>
      </c>
      <c r="M16" s="10" t="s">
        <v>79</v>
      </c>
    </row>
    <row r="17">
      <c r="A17" s="10"/>
      <c r="B17" s="5" t="s">
        <v>23</v>
      </c>
      <c r="C17" s="7" t="s">
        <v>80</v>
      </c>
      <c r="D17" s="7" t="s">
        <v>43</v>
      </c>
      <c r="E17" s="10" t="s">
        <v>81</v>
      </c>
      <c r="F17" s="9">
        <f t="shared" si="3"/>
        <v>2</v>
      </c>
      <c r="G17" s="7" t="s">
        <v>82</v>
      </c>
      <c r="H17" s="10"/>
      <c r="I17" s="7" t="str">
        <f>IFERROR(__xludf.DUMMYFUNCTION("regexreplace(lower(C17), ""_"", """")"),"first60minallbloodgasphgreater7p15basedeficitless10meqperle")</f>
        <v>first60minallbloodgasphgreater7p15basedeficitless10meqperle</v>
      </c>
      <c r="J17" s="9" t="b">
        <f t="shared" si="2"/>
        <v>1</v>
      </c>
      <c r="K17" s="7" t="str">
        <f>IFERROR(__xludf.DUMMYFUNCTION("regexreplace(G17, ""_"", """")"),"first60minallbloodgasphgreater7p15basedeficitless10meqperle")</f>
        <v>first60minallbloodgasphgreater7p15basedeficitless10meqperle</v>
      </c>
      <c r="L17" s="10" t="s">
        <v>83</v>
      </c>
      <c r="M17" s="10" t="s">
        <v>84</v>
      </c>
    </row>
    <row r="18">
      <c r="A18" s="10"/>
      <c r="B18" s="5" t="s">
        <v>23</v>
      </c>
      <c r="C18" s="7" t="s">
        <v>85</v>
      </c>
      <c r="D18" s="7" t="s">
        <v>43</v>
      </c>
      <c r="E18" s="17" t="s">
        <v>86</v>
      </c>
      <c r="F18" s="9">
        <f t="shared" si="3"/>
        <v>1</v>
      </c>
      <c r="G18" s="7" t="s">
        <v>87</v>
      </c>
      <c r="H18" s="10"/>
      <c r="I18" s="7" t="str">
        <f>IFERROR(__xludf.DUMMYFUNCTION("regexreplace(lower(C18), ""_"", """")"),"postnatalageless6hrorgreater24hre")</f>
        <v>postnatalageless6hrorgreater24hre</v>
      </c>
      <c r="J18" s="9" t="b">
        <f t="shared" si="2"/>
        <v>1</v>
      </c>
      <c r="K18" s="7" t="str">
        <f>IFERROR(__xludf.DUMMYFUNCTION("regexreplace(G18, ""_"", """")"),"postnatalageless6hrorgreater24hre")</f>
        <v>postnatalageless6hrorgreater24hre</v>
      </c>
      <c r="L18" s="17" t="s">
        <v>88</v>
      </c>
      <c r="M18" s="10"/>
    </row>
    <row r="19">
      <c r="A19" s="10"/>
      <c r="B19" s="5" t="s">
        <v>23</v>
      </c>
      <c r="C19" s="7" t="s">
        <v>89</v>
      </c>
      <c r="D19" s="7" t="s">
        <v>43</v>
      </c>
      <c r="E19" s="17" t="s">
        <v>90</v>
      </c>
      <c r="F19" s="9">
        <f t="shared" si="3"/>
        <v>1</v>
      </c>
      <c r="G19" s="7" t="s">
        <v>91</v>
      </c>
      <c r="H19" s="10"/>
      <c r="I19" s="7" t="str">
        <f>IFERROR(__xludf.DUMMYFUNCTION("regexreplace(lower(C19), ""_"", """")"),"enrolledconflictingtriale")</f>
        <v>enrolledconflictingtriale</v>
      </c>
      <c r="J19" s="9" t="b">
        <f t="shared" si="2"/>
        <v>1</v>
      </c>
      <c r="K19" s="7" t="str">
        <f>IFERROR(__xludf.DUMMYFUNCTION("regexreplace(G19, ""_"", """")"),"enrolledconflictingtriale")</f>
        <v>enrolledconflictingtriale</v>
      </c>
      <c r="L19" s="17" t="s">
        <v>92</v>
      </c>
      <c r="M19" s="10"/>
    </row>
    <row r="20">
      <c r="A20" s="10"/>
      <c r="B20" s="5" t="s">
        <v>23</v>
      </c>
      <c r="C20" s="7" t="s">
        <v>93</v>
      </c>
      <c r="D20" s="7" t="s">
        <v>43</v>
      </c>
      <c r="E20" s="10" t="s">
        <v>94</v>
      </c>
      <c r="F20" s="9">
        <f t="shared" si="3"/>
        <v>2</v>
      </c>
      <c r="G20" s="7" t="s">
        <v>95</v>
      </c>
      <c r="H20" s="10"/>
      <c r="I20" s="7" t="str">
        <f>IFERROR(__xludf.DUMMYFUNCTION("regexreplace(lower(C20), ""_"", """")"),"first60minanybloodgasphlesseq7i")</f>
        <v>first60minanybloodgasphlesseq7i</v>
      </c>
      <c r="J20" s="9" t="b">
        <f t="shared" si="2"/>
        <v>1</v>
      </c>
      <c r="K20" s="7" t="str">
        <f>IFERROR(__xludf.DUMMYFUNCTION("regexreplace(G20, ""_"", """")"),"first60minanybloodgasphlesseq7i")</f>
        <v>first60minanybloodgasphlesseq7i</v>
      </c>
      <c r="L20" s="10" t="s">
        <v>96</v>
      </c>
      <c r="M20" s="10" t="s">
        <v>97</v>
      </c>
    </row>
    <row r="21">
      <c r="A21" s="10"/>
      <c r="B21" s="5" t="s">
        <v>23</v>
      </c>
      <c r="C21" s="7" t="s">
        <v>98</v>
      </c>
      <c r="D21" s="7" t="s">
        <v>43</v>
      </c>
      <c r="E21" s="10" t="s">
        <v>99</v>
      </c>
      <c r="F21" s="9">
        <f t="shared" si="3"/>
        <v>2</v>
      </c>
      <c r="G21" s="7" t="s">
        <v>100</v>
      </c>
      <c r="H21" s="10"/>
      <c r="I21" s="7" t="str">
        <f>IFERROR(__xludf.DUMMYFUNCTION("regexreplace(lower(C21), ""_"", """")"),"first60minanybloodgasbasedeficitgreatereq16meqperli")</f>
        <v>first60minanybloodgasbasedeficitgreatereq16meqperli</v>
      </c>
      <c r="J21" s="9" t="b">
        <f t="shared" si="2"/>
        <v>1</v>
      </c>
      <c r="K21" s="7" t="str">
        <f>IFERROR(__xludf.DUMMYFUNCTION("regexreplace(G21, ""_"", """")"),"first60minanybloodgasbasedeficitgreatereq16meqperli")</f>
        <v>first60minanybloodgasbasedeficitgreatereq16meqperli</v>
      </c>
      <c r="L21" s="10" t="s">
        <v>101</v>
      </c>
      <c r="M21" s="10" t="s">
        <v>102</v>
      </c>
    </row>
    <row r="22">
      <c r="A22" s="10"/>
      <c r="B22" s="5" t="s">
        <v>23</v>
      </c>
      <c r="C22" s="7" t="s">
        <v>103</v>
      </c>
      <c r="D22" s="7" t="s">
        <v>43</v>
      </c>
      <c r="E22" s="10" t="s">
        <v>104</v>
      </c>
      <c r="F22" s="9">
        <f t="shared" si="3"/>
        <v>2</v>
      </c>
      <c r="G22" s="7" t="s">
        <v>105</v>
      </c>
      <c r="H22" s="10"/>
      <c r="I22" s="7" t="str">
        <f>IFERROR(__xludf.DUMMYFUNCTION("regexreplace(lower(C22), ""_"", """")"),"historyperinataleventi")</f>
        <v>historyperinataleventi</v>
      </c>
      <c r="J22" s="9" t="b">
        <f t="shared" si="2"/>
        <v>1</v>
      </c>
      <c r="K22" s="7" t="str">
        <f>IFERROR(__xludf.DUMMYFUNCTION("regexreplace(G22, ""_"", """")"),"historyperinataleventi")</f>
        <v>historyperinataleventi</v>
      </c>
      <c r="L22" s="10" t="s">
        <v>106</v>
      </c>
      <c r="M22" s="10" t="s">
        <v>107</v>
      </c>
    </row>
    <row r="23">
      <c r="A23" s="10"/>
      <c r="B23" s="5" t="s">
        <v>23</v>
      </c>
      <c r="C23" s="7" t="s">
        <v>108</v>
      </c>
      <c r="D23" s="7" t="s">
        <v>43</v>
      </c>
      <c r="E23" s="10" t="s">
        <v>109</v>
      </c>
      <c r="F23" s="9">
        <f t="shared" si="3"/>
        <v>2</v>
      </c>
      <c r="G23" s="7" t="s">
        <v>110</v>
      </c>
      <c r="H23" s="10"/>
      <c r="I23" s="7" t="str">
        <f>IFERROR(__xludf.DUMMYFUNCTION("regexreplace(lower(C23), ""_"", """")"),"at10minapgarlesseq5orventi")</f>
        <v>at10minapgarlesseq5orventi</v>
      </c>
      <c r="J23" s="9" t="b">
        <f t="shared" si="2"/>
        <v>1</v>
      </c>
      <c r="K23" s="7" t="str">
        <f>IFERROR(__xludf.DUMMYFUNCTION("regexreplace(G23, ""_"", """")"),"at10minapgarlesseq5orventi")</f>
        <v>at10minapgarlesseq5orventi</v>
      </c>
      <c r="L23" s="10" t="s">
        <v>111</v>
      </c>
      <c r="M23" s="10" t="s">
        <v>112</v>
      </c>
    </row>
    <row r="24">
      <c r="A24" s="10"/>
      <c r="B24" s="5" t="s">
        <v>23</v>
      </c>
      <c r="C24" s="7" t="s">
        <v>113</v>
      </c>
      <c r="D24" s="7" t="s">
        <v>43</v>
      </c>
      <c r="E24" s="10" t="s">
        <v>114</v>
      </c>
      <c r="F24" s="9">
        <f t="shared" si="3"/>
        <v>1</v>
      </c>
      <c r="G24" s="7" t="s">
        <v>115</v>
      </c>
      <c r="H24" s="10"/>
      <c r="I24" s="7" t="str">
        <f>IFERROR(__xludf.DUMMYFUNCTION("regexreplace(lower(C24), ""_"", """")"),"randomeligible")</f>
        <v>randomeligible</v>
      </c>
      <c r="J24" s="9" t="b">
        <f t="shared" si="2"/>
        <v>1</v>
      </c>
      <c r="K24" s="7" t="str">
        <f>IFERROR(__xludf.DUMMYFUNCTION("regexreplace(G24, ""_"", """")"),"randomeligible")</f>
        <v>randomeligible</v>
      </c>
      <c r="L24" s="10"/>
      <c r="M24" s="10" t="s">
        <v>116</v>
      </c>
    </row>
    <row r="25">
      <c r="A25" s="10"/>
      <c r="B25" s="5" t="s">
        <v>23</v>
      </c>
      <c r="C25" s="7" t="s">
        <v>117</v>
      </c>
      <c r="D25" s="7" t="s">
        <v>117</v>
      </c>
      <c r="E25" s="10" t="s">
        <v>118</v>
      </c>
      <c r="F25" s="9">
        <f t="shared" si="3"/>
        <v>2</v>
      </c>
      <c r="G25" s="7" t="s">
        <v>119</v>
      </c>
      <c r="H25" s="10"/>
      <c r="I25" s="7" t="str">
        <f>IFERROR(__xludf.DUMMYFUNCTION("regexreplace(lower(C25), ""_"", """")"),"consentstatus")</f>
        <v>consentstatus</v>
      </c>
      <c r="J25" s="9" t="b">
        <f t="shared" si="2"/>
        <v>1</v>
      </c>
      <c r="K25" s="7" t="str">
        <f>IFERROR(__xludf.DUMMYFUNCTION("regexreplace(G25, ""_"", """")"),"consentstatus")</f>
        <v>consentstatus</v>
      </c>
      <c r="L25" s="10" t="s">
        <v>120</v>
      </c>
      <c r="M25" s="10" t="s">
        <v>121</v>
      </c>
    </row>
    <row r="26">
      <c r="A26" s="10"/>
      <c r="B26" s="5" t="s">
        <v>23</v>
      </c>
      <c r="C26" s="7" t="s">
        <v>122</v>
      </c>
      <c r="D26" s="7" t="s">
        <v>19</v>
      </c>
      <c r="E26" s="10" t="s">
        <v>123</v>
      </c>
      <c r="F26" s="9">
        <f t="shared" si="3"/>
        <v>2</v>
      </c>
      <c r="G26" s="7" t="s">
        <v>124</v>
      </c>
      <c r="H26" s="10"/>
      <c r="I26" s="7" t="str">
        <f>IFERROR(__xludf.DUMMYFUNCTION("regexreplace(lower(C26), ""_"", """")"),"noconsentreason")</f>
        <v>noconsentreason</v>
      </c>
      <c r="J26" s="9" t="b">
        <f t="shared" si="2"/>
        <v>1</v>
      </c>
      <c r="K26" s="7" t="str">
        <f>IFERROR(__xludf.DUMMYFUNCTION("regexreplace(G26, ""_"", """")"),"noconsentreason")</f>
        <v>noconsentreason</v>
      </c>
      <c r="L26" s="10" t="s">
        <v>125</v>
      </c>
      <c r="M26" s="10" t="s">
        <v>126</v>
      </c>
    </row>
    <row r="27">
      <c r="A27" s="10"/>
      <c r="B27" s="5" t="s">
        <v>23</v>
      </c>
      <c r="C27" s="7" t="s">
        <v>127</v>
      </c>
      <c r="D27" s="7" t="s">
        <v>19</v>
      </c>
      <c r="E27" s="10" t="s">
        <v>128</v>
      </c>
      <c r="F27" s="9">
        <f t="shared" si="3"/>
        <v>1</v>
      </c>
      <c r="G27" s="7" t="s">
        <v>129</v>
      </c>
      <c r="H27" s="10"/>
      <c r="I27" s="7" t="str">
        <f>IFERROR(__xludf.DUMMYFUNCTION("regexreplace(lower(C27), ""_"", """")"),"noinstudyreason")</f>
        <v>noinstudyreason</v>
      </c>
      <c r="J27" s="9" t="b">
        <f t="shared" si="2"/>
        <v>1</v>
      </c>
      <c r="K27" s="7" t="str">
        <f>IFERROR(__xludf.DUMMYFUNCTION("regexreplace(G27, ""_"", """")"),"noinstudyreason")</f>
        <v>noinstudyreason</v>
      </c>
      <c r="L27" s="10" t="s">
        <v>130</v>
      </c>
      <c r="M27" s="10"/>
    </row>
    <row r="28">
      <c r="A28" s="10"/>
      <c r="B28" s="5" t="s">
        <v>23</v>
      </c>
      <c r="C28" s="7" t="s">
        <v>131</v>
      </c>
      <c r="D28" s="7" t="s">
        <v>43</v>
      </c>
      <c r="E28" s="10" t="s">
        <v>132</v>
      </c>
      <c r="F28" s="9">
        <f t="shared" si="3"/>
        <v>1</v>
      </c>
      <c r="G28" s="7" t="s">
        <v>131</v>
      </c>
      <c r="H28" s="10"/>
      <c r="I28" s="7" t="str">
        <f>IFERROR(__xludf.DUMMYFUNCTION("regexreplace(lower(C28), ""_"", """")"),"random")</f>
        <v>random</v>
      </c>
      <c r="J28" s="9" t="b">
        <f t="shared" si="2"/>
        <v>1</v>
      </c>
      <c r="K28" s="7" t="str">
        <f>IFERROR(__xludf.DUMMYFUNCTION("regexreplace(G28, ""_"", """")"),"random")</f>
        <v>random</v>
      </c>
      <c r="L28" s="10"/>
      <c r="M28" s="10" t="s">
        <v>133</v>
      </c>
    </row>
    <row r="29">
      <c r="A29" s="10"/>
      <c r="B29" s="5" t="s">
        <v>23</v>
      </c>
      <c r="C29" s="7" t="s">
        <v>134</v>
      </c>
      <c r="D29" s="7" t="s">
        <v>19</v>
      </c>
      <c r="E29" s="10" t="s">
        <v>135</v>
      </c>
      <c r="F29" s="9">
        <f t="shared" si="3"/>
        <v>1</v>
      </c>
      <c r="G29" s="7" t="s">
        <v>136</v>
      </c>
      <c r="H29" s="10"/>
      <c r="I29" s="7" t="str">
        <f>IFERROR(__xludf.DUMMYFUNCTION("regexreplace(lower(C29), ""_"", """")"),"norandomreason")</f>
        <v>norandomreason</v>
      </c>
      <c r="J29" s="9" t="b">
        <f t="shared" si="2"/>
        <v>1</v>
      </c>
      <c r="K29" s="7" t="str">
        <f>IFERROR(__xludf.DUMMYFUNCTION("regexreplace(G29, ""_"", """")"),"norandomreason")</f>
        <v>norandomreason</v>
      </c>
      <c r="L29" s="10"/>
      <c r="M29" s="10" t="s">
        <v>137</v>
      </c>
    </row>
    <row r="30">
      <c r="A30" s="10"/>
      <c r="B30" s="5" t="s">
        <v>23</v>
      </c>
      <c r="C30" s="7" t="s">
        <v>138</v>
      </c>
      <c r="D30" s="7" t="s">
        <v>19</v>
      </c>
      <c r="E30" s="10" t="s">
        <v>139</v>
      </c>
      <c r="F30" s="9">
        <f t="shared" si="3"/>
        <v>1</v>
      </c>
      <c r="G30" s="7" t="s">
        <v>140</v>
      </c>
      <c r="H30" s="10"/>
      <c r="I30" s="7" t="str">
        <f>IFERROR(__xludf.DUMMYFUNCTION("regexreplace(lower(C30), ""_"", """")"),"norandomreasontext")</f>
        <v>norandomreasontext</v>
      </c>
      <c r="J30" s="9" t="b">
        <f t="shared" si="2"/>
        <v>1</v>
      </c>
      <c r="K30" s="7" t="str">
        <f>IFERROR(__xludf.DUMMYFUNCTION("regexreplace(G30, ""_"", """")"),"norandomreasontext")</f>
        <v>norandomreasontext</v>
      </c>
      <c r="L30" s="10"/>
      <c r="M30" s="10" t="s">
        <v>141</v>
      </c>
    </row>
    <row r="31">
      <c r="A31" s="10"/>
      <c r="B31" s="5" t="s">
        <v>23</v>
      </c>
      <c r="C31" s="7" t="s">
        <v>142</v>
      </c>
      <c r="D31" s="7" t="s">
        <v>29</v>
      </c>
      <c r="E31" s="10" t="s">
        <v>143</v>
      </c>
      <c r="F31" s="9">
        <f t="shared" si="3"/>
        <v>2</v>
      </c>
      <c r="G31" s="7" t="s">
        <v>144</v>
      </c>
      <c r="H31" s="12"/>
      <c r="I31" s="7" t="str">
        <f>IFERROR(__xludf.DUMMYFUNCTION("regexreplace(lower(C31), ""_"", """")"),"randomdate")</f>
        <v>randomdate</v>
      </c>
      <c r="J31" s="9" t="b">
        <f t="shared" si="2"/>
        <v>1</v>
      </c>
      <c r="K31" s="7" t="str">
        <f>IFERROR(__xludf.DUMMYFUNCTION("regexreplace(G31, ""_"", """")"),"randomdate")</f>
        <v>randomdate</v>
      </c>
      <c r="L31" s="10" t="s">
        <v>145</v>
      </c>
      <c r="M31" s="10" t="s">
        <v>146</v>
      </c>
    </row>
    <row r="32">
      <c r="A32" s="10"/>
      <c r="B32" s="5" t="s">
        <v>23</v>
      </c>
      <c r="C32" s="7" t="s">
        <v>147</v>
      </c>
      <c r="D32" s="7" t="s">
        <v>148</v>
      </c>
      <c r="E32" s="10" t="s">
        <v>149</v>
      </c>
      <c r="F32" s="9">
        <f t="shared" si="3"/>
        <v>2</v>
      </c>
      <c r="G32" s="7" t="s">
        <v>150</v>
      </c>
      <c r="H32" s="10"/>
      <c r="I32" s="7" t="str">
        <f>IFERROR(__xludf.DUMMYFUNCTION("regexreplace(lower(C32), ""_"", """")"),"randomtime")</f>
        <v>randomtime</v>
      </c>
      <c r="J32" s="9" t="b">
        <f t="shared" si="2"/>
        <v>1</v>
      </c>
      <c r="K32" s="7" t="str">
        <f>IFERROR(__xludf.DUMMYFUNCTION("regexreplace(G32, ""_"", """")"),"randomtime")</f>
        <v>randomtime</v>
      </c>
      <c r="L32" s="10" t="s">
        <v>151</v>
      </c>
      <c r="M32" s="10" t="s">
        <v>152</v>
      </c>
    </row>
    <row r="33" ht="21.75" customHeight="1">
      <c r="A33" s="10"/>
      <c r="B33" s="5" t="s">
        <v>23</v>
      </c>
      <c r="C33" s="7" t="s">
        <v>153</v>
      </c>
      <c r="D33" s="7" t="s">
        <v>154</v>
      </c>
      <c r="E33" s="18" t="s">
        <v>155</v>
      </c>
      <c r="F33" s="9">
        <f t="shared" si="3"/>
        <v>1</v>
      </c>
      <c r="G33" s="7" t="s">
        <v>156</v>
      </c>
      <c r="H33" s="10"/>
      <c r="I33" s="7" t="str">
        <f>IFERROR(__xludf.DUMMYFUNCTION("regexreplace(lower(C33), ""_"", """")"),"agerandhr")</f>
        <v>agerandhr</v>
      </c>
      <c r="J33" s="9" t="b">
        <f t="shared" si="2"/>
        <v>1</v>
      </c>
      <c r="K33" s="7" t="str">
        <f>IFERROR(__xludf.DUMMYFUNCTION("regexreplace(G33, ""_"", """")"),"agerandhr")</f>
        <v>agerandhr</v>
      </c>
      <c r="L33" s="10"/>
      <c r="M33" s="8" t="s">
        <v>157</v>
      </c>
    </row>
    <row r="34">
      <c r="A34" s="10"/>
      <c r="B34" s="5" t="s">
        <v>23</v>
      </c>
      <c r="C34" s="7" t="s">
        <v>158</v>
      </c>
      <c r="D34" s="7" t="s">
        <v>19</v>
      </c>
      <c r="E34" s="10" t="s">
        <v>159</v>
      </c>
      <c r="F34" s="9">
        <f t="shared" si="3"/>
        <v>2</v>
      </c>
      <c r="G34" s="7" t="s">
        <v>160</v>
      </c>
      <c r="H34" s="10"/>
      <c r="I34" s="7" t="str">
        <f>IFERROR(__xludf.DUMMYFUNCTION("regexreplace(lower(C34), ""_"", """")"),"randomnumber")</f>
        <v>randomnumber</v>
      </c>
      <c r="J34" s="9" t="b">
        <f t="shared" si="2"/>
        <v>1</v>
      </c>
      <c r="K34" s="7" t="str">
        <f>IFERROR(__xludf.DUMMYFUNCTION("regexreplace(G34, ""_"", """")"),"randomnumber")</f>
        <v>randomnumber</v>
      </c>
      <c r="L34" s="10" t="s">
        <v>161</v>
      </c>
      <c r="M34" s="10" t="s">
        <v>162</v>
      </c>
    </row>
    <row r="35">
      <c r="A35" s="10"/>
      <c r="B35" s="5" t="s">
        <v>23</v>
      </c>
      <c r="C35" s="7" t="s">
        <v>163</v>
      </c>
      <c r="D35" s="7" t="s">
        <v>164</v>
      </c>
      <c r="E35" s="10" t="s">
        <v>165</v>
      </c>
      <c r="F35" s="9">
        <f t="shared" si="3"/>
        <v>2</v>
      </c>
      <c r="G35" s="7" t="s">
        <v>166</v>
      </c>
      <c r="H35" s="10"/>
      <c r="I35" s="7" t="str">
        <f>IFERROR(__xludf.DUMMYFUNCTION("regexreplace(lower(C35), ""_"", """")"),"randomtreatmentassign")</f>
        <v>randomtreatmentassign</v>
      </c>
      <c r="J35" s="9" t="b">
        <f t="shared" si="2"/>
        <v>1</v>
      </c>
      <c r="K35" s="7" t="str">
        <f>IFERROR(__xludf.DUMMYFUNCTION("regexreplace(G35, ""_"", """")"),"randomtreatmentassign")</f>
        <v>randomtreatmentassign</v>
      </c>
      <c r="L35" s="19" t="s">
        <v>167</v>
      </c>
      <c r="M35" s="10" t="s">
        <v>168</v>
      </c>
    </row>
    <row r="36">
      <c r="A36" s="10"/>
      <c r="B36" s="5" t="s">
        <v>23</v>
      </c>
      <c r="C36" s="7" t="s">
        <v>169</v>
      </c>
      <c r="D36" s="7" t="s">
        <v>43</v>
      </c>
      <c r="E36" s="10" t="s">
        <v>170</v>
      </c>
      <c r="F36" s="9">
        <f t="shared" si="3"/>
        <v>1</v>
      </c>
      <c r="G36" s="7" t="s">
        <v>171</v>
      </c>
      <c r="H36" s="10"/>
      <c r="I36" s="7" t="str">
        <f>IFERROR(__xludf.DUMMYFUNCTION("regexreplace(lower(C36), ""_"", """")"),"randomtreatmentreceive")</f>
        <v>randomtreatmentreceive</v>
      </c>
      <c r="J36" s="9" t="b">
        <f t="shared" si="2"/>
        <v>1</v>
      </c>
      <c r="K36" s="7" t="str">
        <f>IFERROR(__xludf.DUMMYFUNCTION("regexreplace(G36, ""_"", """")"),"randomtreatmentreceive")</f>
        <v>randomtreatmentreceive</v>
      </c>
      <c r="L36" s="10"/>
      <c r="M36" s="10" t="s">
        <v>172</v>
      </c>
    </row>
    <row r="37">
      <c r="A37" s="10"/>
      <c r="B37" s="5" t="s">
        <v>23</v>
      </c>
      <c r="C37" s="7" t="s">
        <v>173</v>
      </c>
      <c r="D37" s="7" t="s">
        <v>174</v>
      </c>
      <c r="E37" s="10" t="s">
        <v>175</v>
      </c>
      <c r="F37" s="9">
        <f t="shared" si="3"/>
        <v>1</v>
      </c>
      <c r="G37" s="7" t="s">
        <v>176</v>
      </c>
      <c r="H37" s="10"/>
      <c r="I37" s="7" t="str">
        <f>IFERROR(__xludf.DUMMYFUNCTION("regexreplace(lower(C37), ""_"", """")"),"treatmentblankettype")</f>
        <v>treatmentblankettype</v>
      </c>
      <c r="J37" s="9" t="b">
        <f t="shared" si="2"/>
        <v>1</v>
      </c>
      <c r="K37" s="7" t="str">
        <f>IFERROR(__xludf.DUMMYFUNCTION("regexreplace(G37, ""_"", """")"),"treatmentblankettype")</f>
        <v>treatmentblankettype</v>
      </c>
      <c r="L37" s="10"/>
      <c r="M37" s="10" t="s">
        <v>177</v>
      </c>
    </row>
    <row r="38" ht="18.0" customHeight="1">
      <c r="A38" s="10"/>
      <c r="B38" s="5" t="s">
        <v>23</v>
      </c>
      <c r="C38" s="7" t="s">
        <v>178</v>
      </c>
      <c r="D38" s="7" t="s">
        <v>34</v>
      </c>
      <c r="E38" s="18" t="s">
        <v>179</v>
      </c>
      <c r="F38" s="9">
        <f t="shared" si="3"/>
        <v>1</v>
      </c>
      <c r="G38" s="7" t="s">
        <v>180</v>
      </c>
      <c r="H38" s="10"/>
      <c r="I38" s="7" t="str">
        <f>IFERROR(__xludf.DUMMYFUNCTION("regexreplace(lower(C38), ""_"", """")"),"treatmentassignmentdurationhr")</f>
        <v>treatmentassignmentdurationhr</v>
      </c>
      <c r="J38" s="9" t="b">
        <f t="shared" si="2"/>
        <v>1</v>
      </c>
      <c r="K38" s="7" t="str">
        <f>IFERROR(__xludf.DUMMYFUNCTION("regexreplace(G38, ""_"", """")"),"treatmentassignmentdurationhr")</f>
        <v>treatmentassignmentdurationhr</v>
      </c>
      <c r="L38" s="10"/>
      <c r="M38" s="8" t="s">
        <v>181</v>
      </c>
    </row>
    <row r="39" ht="15.0" customHeight="1">
      <c r="A39" s="10"/>
      <c r="B39" s="5" t="s">
        <v>23</v>
      </c>
      <c r="C39" s="7" t="s">
        <v>182</v>
      </c>
      <c r="D39" s="7" t="s">
        <v>154</v>
      </c>
      <c r="E39" s="18" t="s">
        <v>183</v>
      </c>
      <c r="F39" s="9">
        <f t="shared" si="3"/>
        <v>1</v>
      </c>
      <c r="G39" s="7" t="s">
        <v>184</v>
      </c>
      <c r="H39" s="10"/>
      <c r="I39" s="7" t="str">
        <f>IFERROR(__xludf.DUMMYFUNCTION("regexreplace(lower(C39), ""_"", """")"),"treatmentassignmenttemperature")</f>
        <v>treatmentassignmenttemperature</v>
      </c>
      <c r="J39" s="9" t="b">
        <f t="shared" si="2"/>
        <v>1</v>
      </c>
      <c r="K39" s="7" t="str">
        <f>IFERROR(__xludf.DUMMYFUNCTION("regexreplace(G39, ""_"", """")"),"treatmentassignmenttemperature")</f>
        <v>treatmentassignmenttemperature</v>
      </c>
      <c r="L39" s="10"/>
      <c r="M39" s="8" t="s">
        <v>185</v>
      </c>
    </row>
    <row r="40">
      <c r="A40" s="10"/>
      <c r="B40" s="5" t="s">
        <v>23</v>
      </c>
      <c r="C40" s="7" t="s">
        <v>186</v>
      </c>
      <c r="D40" s="7" t="s">
        <v>43</v>
      </c>
      <c r="E40" s="20" t="s">
        <v>187</v>
      </c>
      <c r="F40" s="9">
        <f t="shared" si="3"/>
        <v>1</v>
      </c>
      <c r="G40" s="7" t="s">
        <v>188</v>
      </c>
      <c r="H40" s="10"/>
      <c r="I40" s="7" t="str">
        <f>IFERROR(__xludf.DUMMYFUNCTION("regexreplace(lower(C40), ""_"", """")"),"usualcoolingtreatmentgroup")</f>
        <v>usualcoolingtreatmentgroup</v>
      </c>
      <c r="J40" s="9" t="b">
        <f t="shared" si="2"/>
        <v>1</v>
      </c>
      <c r="K40" s="7" t="str">
        <f>IFERROR(__xludf.DUMMYFUNCTION("regexreplace(G40, ""_"", """")"),"usualcoolingtreatmentgroup")</f>
        <v>usualcoolingtreatmentgroup</v>
      </c>
      <c r="L40" s="10"/>
      <c r="M40" s="8" t="s">
        <v>189</v>
      </c>
    </row>
    <row r="41">
      <c r="A41" s="10"/>
      <c r="B41" s="5" t="s">
        <v>23</v>
      </c>
      <c r="C41" s="7" t="s">
        <v>190</v>
      </c>
      <c r="D41" s="7" t="s">
        <v>43</v>
      </c>
      <c r="E41" s="10" t="s">
        <v>191</v>
      </c>
      <c r="F41" s="9">
        <f t="shared" si="3"/>
        <v>2</v>
      </c>
      <c r="G41" s="7" t="s">
        <v>192</v>
      </c>
      <c r="H41" s="10"/>
      <c r="I41" s="7" t="str">
        <f>IFERROR(__xludf.DUMMYFUNCTION("regexreplace(lower(C41), ""_"", """")"),"inothertrial")</f>
        <v>inothertrial</v>
      </c>
      <c r="J41" s="9" t="b">
        <f t="shared" si="2"/>
        <v>1</v>
      </c>
      <c r="K41" s="7" t="str">
        <f>IFERROR(__xludf.DUMMYFUNCTION("regexreplace(G41, ""_"", """")"),"inothertrial")</f>
        <v>inothertrial</v>
      </c>
      <c r="L41" s="19" t="s">
        <v>193</v>
      </c>
      <c r="M41" s="19" t="s">
        <v>194</v>
      </c>
    </row>
    <row r="42">
      <c r="A42" s="10"/>
      <c r="B42" s="5" t="s">
        <v>23</v>
      </c>
      <c r="C42" s="7" t="s">
        <v>195</v>
      </c>
      <c r="D42" s="7" t="s">
        <v>19</v>
      </c>
      <c r="E42" s="10" t="s">
        <v>196</v>
      </c>
      <c r="F42" s="9">
        <f t="shared" si="3"/>
        <v>2</v>
      </c>
      <c r="G42" s="7" t="s">
        <v>197</v>
      </c>
      <c r="H42" s="10"/>
      <c r="I42" s="7" t="str">
        <f>IFERROR(__xludf.DUMMYFUNCTION("regexreplace(lower(C42), ""_"", """")"),"inothertrialtext")</f>
        <v>inothertrialtext</v>
      </c>
      <c r="J42" s="9" t="b">
        <f t="shared" si="2"/>
        <v>1</v>
      </c>
      <c r="K42" s="7" t="str">
        <f>IFERROR(__xludf.DUMMYFUNCTION("regexreplace(G42, ""_"", """")"),"inothertrialtext")</f>
        <v>inothertrialtext</v>
      </c>
      <c r="L42" s="19" t="s">
        <v>198</v>
      </c>
      <c r="M42" s="19" t="s">
        <v>199</v>
      </c>
    </row>
    <row r="43">
      <c r="A43" s="10"/>
      <c r="B43" s="5" t="s">
        <v>23</v>
      </c>
      <c r="C43" s="7" t="s">
        <v>200</v>
      </c>
      <c r="D43" s="7" t="s">
        <v>43</v>
      </c>
      <c r="E43" s="10" t="s">
        <v>201</v>
      </c>
      <c r="F43" s="9">
        <f t="shared" si="3"/>
        <v>0</v>
      </c>
      <c r="G43" s="16" t="s">
        <v>202</v>
      </c>
      <c r="H43" s="10"/>
      <c r="I43" s="7" t="str">
        <f>IFERROR(__xludf.DUMMYFUNCTION("regexreplace(lower(C43), ""_"", """")"),"consideredforhypothermia")</f>
        <v>consideredforhypothermia</v>
      </c>
      <c r="J43" s="9" t="b">
        <f t="shared" si="2"/>
        <v>1</v>
      </c>
      <c r="K43" s="7" t="str">
        <f>IFERROR(__xludf.DUMMYFUNCTION("regexreplace(G43, ""_"", """")"),"consideredforhypothermia")</f>
        <v>consideredforhypothermia</v>
      </c>
      <c r="L43" s="10"/>
      <c r="M43" s="10"/>
    </row>
    <row r="44">
      <c r="A44" s="10"/>
      <c r="B44" s="5" t="s">
        <v>23</v>
      </c>
      <c r="C44" s="7" t="s">
        <v>203</v>
      </c>
      <c r="D44" s="7" t="s">
        <v>43</v>
      </c>
      <c r="E44" s="10" t="s">
        <v>204</v>
      </c>
      <c r="F44" s="9">
        <f t="shared" si="3"/>
        <v>0</v>
      </c>
      <c r="G44" s="7" t="s">
        <v>203</v>
      </c>
      <c r="H44" s="10"/>
      <c r="I44" s="7" t="str">
        <f>IFERROR(__xludf.DUMMYFUNCTION("regexreplace(lower(C44), ""_"", """")"),"hypothermia")</f>
        <v>hypothermia</v>
      </c>
      <c r="J44" s="9" t="b">
        <f t="shared" si="2"/>
        <v>1</v>
      </c>
      <c r="K44" s="7" t="str">
        <f>IFERROR(__xludf.DUMMYFUNCTION("regexreplace(G44, ""_"", """")"),"hypothermia")</f>
        <v>hypothermia</v>
      </c>
      <c r="L44" s="10"/>
      <c r="M44" s="10"/>
    </row>
    <row r="45">
      <c r="A45" s="10"/>
      <c r="B45" s="5" t="s">
        <v>23</v>
      </c>
      <c r="C45" s="7" t="s">
        <v>205</v>
      </c>
      <c r="D45" s="7" t="s">
        <v>19</v>
      </c>
      <c r="E45" s="10" t="s">
        <v>206</v>
      </c>
      <c r="F45" s="9">
        <f t="shared" si="3"/>
        <v>0</v>
      </c>
      <c r="G45" s="16" t="s">
        <v>207</v>
      </c>
      <c r="H45" s="10"/>
      <c r="I45" s="7" t="str">
        <f>IFERROR(__xludf.DUMMYFUNCTION("regexreplace(lower(C45), ""_"", """")"),"nohypothermiareason")</f>
        <v>nohypothermiareason</v>
      </c>
      <c r="J45" s="9" t="b">
        <f t="shared" si="2"/>
        <v>1</v>
      </c>
      <c r="K45" s="7" t="str">
        <f>IFERROR(__xludf.DUMMYFUNCTION("regexreplace(G45, ""_"", """")"),"nohypothermiareason")</f>
        <v>nohypothermiareason</v>
      </c>
      <c r="L45" s="10"/>
      <c r="M45" s="10"/>
    </row>
    <row r="46">
      <c r="A46" s="10"/>
      <c r="B46" s="5" t="s">
        <v>23</v>
      </c>
      <c r="C46" s="7" t="s">
        <v>208</v>
      </c>
      <c r="D46" s="7" t="s">
        <v>19</v>
      </c>
      <c r="E46" s="10" t="s">
        <v>209</v>
      </c>
      <c r="F46" s="9">
        <f t="shared" si="3"/>
        <v>0</v>
      </c>
      <c r="G46" s="16" t="s">
        <v>210</v>
      </c>
      <c r="H46" s="10"/>
      <c r="I46" s="7" t="str">
        <f>IFERROR(__xludf.DUMMYFUNCTION("regexreplace(lower(C46), ""_"", """")"),"nohypothermiareasonother")</f>
        <v>nohypothermiareasonother</v>
      </c>
      <c r="J46" s="9" t="b">
        <f t="shared" si="2"/>
        <v>1</v>
      </c>
      <c r="K46" s="7" t="str">
        <f>IFERROR(__xludf.DUMMYFUNCTION("regexreplace(G46, ""_"", """")"),"nohypothermiareasonother")</f>
        <v>nohypothermiareasonother</v>
      </c>
      <c r="L46" s="10"/>
      <c r="M46" s="10"/>
    </row>
    <row r="47">
      <c r="A47" s="10"/>
      <c r="B47" s="5" t="s">
        <v>23</v>
      </c>
      <c r="C47" s="7" t="s">
        <v>211</v>
      </c>
      <c r="D47" s="7" t="s">
        <v>43</v>
      </c>
      <c r="E47" s="10" t="s">
        <v>212</v>
      </c>
      <c r="F47" s="9">
        <f t="shared" si="3"/>
        <v>0</v>
      </c>
      <c r="G47" s="16" t="s">
        <v>213</v>
      </c>
      <c r="H47" s="10"/>
      <c r="I47" s="7" t="str">
        <f>IFERROR(__xludf.DUMMYFUNCTION("regexreplace(lower(C47), ""_"", """")"),"hypothermiastandard")</f>
        <v>hypothermiastandard</v>
      </c>
      <c r="J47" s="9" t="b">
        <f t="shared" si="2"/>
        <v>1</v>
      </c>
      <c r="K47" s="7" t="str">
        <f>IFERROR(__xludf.DUMMYFUNCTION("regexreplace(G47, ""_"", """")"),"hypothermiastandard")</f>
        <v>hypothermiastandard</v>
      </c>
      <c r="L47" s="10"/>
      <c r="M47" s="10"/>
    </row>
    <row r="48">
      <c r="A48" s="10"/>
      <c r="B48" s="5" t="s">
        <v>23</v>
      </c>
      <c r="C48" s="7" t="s">
        <v>214</v>
      </c>
      <c r="D48" s="7" t="s">
        <v>19</v>
      </c>
      <c r="E48" s="10" t="s">
        <v>215</v>
      </c>
      <c r="F48" s="9">
        <f t="shared" si="3"/>
        <v>0</v>
      </c>
      <c r="G48" s="16" t="s">
        <v>216</v>
      </c>
      <c r="H48" s="10"/>
      <c r="I48" s="7" t="str">
        <f>IFERROR(__xludf.DUMMYFUNCTION("regexreplace(lower(C48), ""_"", """")"),"hypothermiadeviationother")</f>
        <v>hypothermiadeviationother</v>
      </c>
      <c r="J48" s="9" t="b">
        <f t="shared" si="2"/>
        <v>1</v>
      </c>
      <c r="K48" s="7" t="str">
        <f>IFERROR(__xludf.DUMMYFUNCTION("regexreplace(G48, ""_"", """")"),"hypothermiadeviationother")</f>
        <v>hypothermiadeviationother</v>
      </c>
      <c r="L48" s="10"/>
      <c r="M48" s="10"/>
    </row>
    <row r="49">
      <c r="A49" s="12"/>
      <c r="B49" s="12"/>
      <c r="C49" s="13"/>
      <c r="D49" s="12"/>
      <c r="E49" s="12"/>
      <c r="F49" s="12"/>
      <c r="G49" s="12"/>
      <c r="H49" s="12"/>
      <c r="I49" s="13" t="str">
        <f>IFERROR(__xludf.DUMMYFUNCTION("regexreplace(lower(C49), ""_"", """")"),"")</f>
        <v/>
      </c>
      <c r="J49" s="14" t="str">
        <f t="shared" si="2"/>
        <v/>
      </c>
      <c r="K49" s="13" t="str">
        <f>IFERROR(__xludf.DUMMYFUNCTION("regexreplace(G49, ""_"", """")"),"")</f>
        <v/>
      </c>
      <c r="L49" s="12"/>
      <c r="M49" s="12"/>
    </row>
    <row r="50">
      <c r="A50" s="5" t="s">
        <v>13</v>
      </c>
      <c r="B50" s="7" t="s">
        <v>217</v>
      </c>
      <c r="C50" s="7" t="s">
        <v>218</v>
      </c>
      <c r="D50" s="7" t="s">
        <v>34</v>
      </c>
      <c r="E50" s="10" t="s">
        <v>219</v>
      </c>
      <c r="F50" s="9">
        <f>counta(L50:M50)</f>
        <v>2</v>
      </c>
      <c r="G50" s="7" t="s">
        <v>220</v>
      </c>
      <c r="H50" s="10"/>
      <c r="I50" s="7" t="str">
        <f>IFERROR(__xludf.DUMMYFUNCTION("regexreplace(lower(C50), ""_"", """")"),"motherageyear")</f>
        <v>motherageyear</v>
      </c>
      <c r="J50" s="9" t="b">
        <f t="shared" si="2"/>
        <v>1</v>
      </c>
      <c r="K50" s="7" t="str">
        <f>IFERROR(__xludf.DUMMYFUNCTION("regexreplace(G50, ""_"", """")"),"motherageyear")</f>
        <v>motherageyear</v>
      </c>
      <c r="L50" s="10" t="s">
        <v>221</v>
      </c>
      <c r="M50" s="10" t="s">
        <v>222</v>
      </c>
    </row>
    <row r="51">
      <c r="A51" s="10"/>
      <c r="B51" s="7" t="s">
        <v>217</v>
      </c>
      <c r="C51" s="16" t="s">
        <v>223</v>
      </c>
      <c r="D51" s="21" t="s">
        <v>224</v>
      </c>
      <c r="E51" s="22" t="s">
        <v>225</v>
      </c>
      <c r="F51" s="9"/>
      <c r="G51" s="16" t="s">
        <v>226</v>
      </c>
      <c r="H51" s="10"/>
      <c r="I51" s="7" t="str">
        <f>IFERROR(__xludf.DUMMYFUNCTION("regexreplace(lower(C51), ""_"", """")"),"motherrace")</f>
        <v>motherrace</v>
      </c>
      <c r="J51" s="9" t="b">
        <f t="shared" si="2"/>
        <v>1</v>
      </c>
      <c r="K51" s="7" t="str">
        <f>IFERROR(__xludf.DUMMYFUNCTION("regexreplace(G51, ""_"", """")"),"motherrace")</f>
        <v>motherrace</v>
      </c>
      <c r="L51" s="19" t="s">
        <v>227</v>
      </c>
      <c r="M51" s="19" t="s">
        <v>228</v>
      </c>
    </row>
    <row r="52">
      <c r="A52" s="10"/>
      <c r="B52" s="7" t="s">
        <v>217</v>
      </c>
      <c r="C52" s="7" t="s">
        <v>229</v>
      </c>
      <c r="D52" s="7" t="s">
        <v>224</v>
      </c>
      <c r="E52" s="15" t="s">
        <v>230</v>
      </c>
      <c r="F52" s="9">
        <v>2.0</v>
      </c>
      <c r="G52" s="7" t="s">
        <v>231</v>
      </c>
      <c r="H52" s="10"/>
      <c r="I52" s="7" t="str">
        <f>IFERROR(__xludf.DUMMYFUNCTION("regexreplace(lower(C52), ""_"", """")"),"motherraceother1")</f>
        <v>motherraceother1</v>
      </c>
      <c r="J52" s="9" t="b">
        <f t="shared" si="2"/>
        <v>1</v>
      </c>
      <c r="K52" s="7" t="str">
        <f>IFERROR(__xludf.DUMMYFUNCTION("regexreplace(G52, ""_"", """")"),"motherraceother1")</f>
        <v>motherraceother1</v>
      </c>
      <c r="L52" s="19" t="s">
        <v>232</v>
      </c>
      <c r="M52" s="19" t="s">
        <v>233</v>
      </c>
    </row>
    <row r="53">
      <c r="A53" s="10"/>
      <c r="B53" s="7" t="s">
        <v>217</v>
      </c>
      <c r="C53" s="7" t="s">
        <v>234</v>
      </c>
      <c r="D53" s="7" t="s">
        <v>224</v>
      </c>
      <c r="E53" s="15" t="s">
        <v>235</v>
      </c>
      <c r="F53" s="9">
        <v>2.0</v>
      </c>
      <c r="G53" s="7" t="s">
        <v>236</v>
      </c>
      <c r="H53" s="10"/>
      <c r="I53" s="7" t="str">
        <f>IFERROR(__xludf.DUMMYFUNCTION("regexreplace(lower(C53), ""_"", """")"),"motherraceother2")</f>
        <v>motherraceother2</v>
      </c>
      <c r="J53" s="9" t="b">
        <f t="shared" si="2"/>
        <v>1</v>
      </c>
      <c r="K53" s="7" t="str">
        <f>IFERROR(__xludf.DUMMYFUNCTION("regexreplace(G53, ""_"", """")"),"motherraceother2")</f>
        <v>motherraceother2</v>
      </c>
      <c r="L53" s="19" t="s">
        <v>237</v>
      </c>
      <c r="M53" s="19" t="s">
        <v>238</v>
      </c>
    </row>
    <row r="54">
      <c r="A54" s="10"/>
      <c r="B54" s="7" t="s">
        <v>217</v>
      </c>
      <c r="C54" s="7" t="s">
        <v>239</v>
      </c>
      <c r="D54" s="7" t="s">
        <v>224</v>
      </c>
      <c r="E54" s="15" t="s">
        <v>240</v>
      </c>
      <c r="F54" s="9">
        <v>2.0</v>
      </c>
      <c r="G54" s="7" t="s">
        <v>241</v>
      </c>
      <c r="H54" s="10"/>
      <c r="I54" s="7" t="str">
        <f>IFERROR(__xludf.DUMMYFUNCTION("regexreplace(lower(C54), ""_"", """")"),"motherraceother3")</f>
        <v>motherraceother3</v>
      </c>
      <c r="J54" s="9" t="b">
        <f t="shared" si="2"/>
        <v>1</v>
      </c>
      <c r="K54" s="7" t="str">
        <f>IFERROR(__xludf.DUMMYFUNCTION("regexreplace(G54, ""_"", """")"),"motherraceother3")</f>
        <v>motherraceother3</v>
      </c>
      <c r="L54" s="19" t="s">
        <v>242</v>
      </c>
      <c r="M54" s="19" t="s">
        <v>243</v>
      </c>
    </row>
    <row r="55">
      <c r="A55" s="10"/>
      <c r="B55" s="7" t="s">
        <v>217</v>
      </c>
      <c r="C55" s="7" t="s">
        <v>244</v>
      </c>
      <c r="D55" s="7" t="s">
        <v>224</v>
      </c>
      <c r="E55" s="15" t="s">
        <v>245</v>
      </c>
      <c r="F55" s="9">
        <v>2.0</v>
      </c>
      <c r="G55" s="7" t="s">
        <v>246</v>
      </c>
      <c r="H55" s="10"/>
      <c r="I55" s="7" t="str">
        <f>IFERROR(__xludf.DUMMYFUNCTION("regexreplace(lower(C55), ""_"", """")"),"motherraceother4")</f>
        <v>motherraceother4</v>
      </c>
      <c r="J55" s="9" t="b">
        <f t="shared" si="2"/>
        <v>1</v>
      </c>
      <c r="K55" s="7" t="str">
        <f>IFERROR(__xludf.DUMMYFUNCTION("regexreplace(G55, ""_"", """")"),"motherraceother4")</f>
        <v>motherraceother4</v>
      </c>
      <c r="L55" s="19" t="s">
        <v>247</v>
      </c>
      <c r="M55" s="19" t="s">
        <v>248</v>
      </c>
    </row>
    <row r="56">
      <c r="A56" s="10"/>
      <c r="B56" s="7" t="s">
        <v>217</v>
      </c>
      <c r="C56" s="7" t="s">
        <v>249</v>
      </c>
      <c r="D56" s="7" t="s">
        <v>224</v>
      </c>
      <c r="E56" s="15" t="s">
        <v>250</v>
      </c>
      <c r="F56" s="9">
        <v>1.0</v>
      </c>
      <c r="G56" s="7" t="s">
        <v>251</v>
      </c>
      <c r="H56" s="10"/>
      <c r="I56" s="7" t="str">
        <f>IFERROR(__xludf.DUMMYFUNCTION("regexreplace(lower(C56), ""_"", """")"),"motherraceother5")</f>
        <v>motherraceother5</v>
      </c>
      <c r="J56" s="9" t="b">
        <f t="shared" si="2"/>
        <v>1</v>
      </c>
      <c r="K56" s="7" t="str">
        <f>IFERROR(__xludf.DUMMYFUNCTION("regexreplace(G56, ""_"", """")"),"motherraceother5")</f>
        <v>motherraceother5</v>
      </c>
      <c r="L56" s="10"/>
      <c r="M56" s="19" t="s">
        <v>252</v>
      </c>
    </row>
    <row r="57">
      <c r="A57" s="10"/>
      <c r="B57" s="7" t="s">
        <v>217</v>
      </c>
      <c r="C57" s="7" t="s">
        <v>253</v>
      </c>
      <c r="D57" s="7" t="s">
        <v>224</v>
      </c>
      <c r="E57" s="15" t="s">
        <v>254</v>
      </c>
      <c r="F57" s="9">
        <v>1.0</v>
      </c>
      <c r="G57" s="7" t="s">
        <v>255</v>
      </c>
      <c r="H57" s="10"/>
      <c r="I57" s="7" t="str">
        <f>IFERROR(__xludf.DUMMYFUNCTION("regexreplace(lower(C57), ""_"", """")"),"motherraceother6")</f>
        <v>motherraceother6</v>
      </c>
      <c r="J57" s="9" t="b">
        <f t="shared" si="2"/>
        <v>1</v>
      </c>
      <c r="K57" s="7" t="str">
        <f>IFERROR(__xludf.DUMMYFUNCTION("regexreplace(G57, ""_"", """")"),"motherraceother6")</f>
        <v>motherraceother6</v>
      </c>
      <c r="L57" s="10"/>
      <c r="M57" s="19" t="s">
        <v>256</v>
      </c>
    </row>
    <row r="58">
      <c r="A58" s="10"/>
      <c r="B58" s="7" t="s">
        <v>217</v>
      </c>
      <c r="C58" s="16" t="s">
        <v>257</v>
      </c>
      <c r="D58" s="7" t="s">
        <v>258</v>
      </c>
      <c r="E58" s="18" t="s">
        <v>259</v>
      </c>
      <c r="F58" s="9">
        <f t="shared" ref="F58:F64" si="4">counta(L58:M58)</f>
        <v>1</v>
      </c>
      <c r="G58" s="16" t="s">
        <v>260</v>
      </c>
      <c r="H58" s="10"/>
      <c r="I58" s="7" t="str">
        <f>IFERROR(__xludf.DUMMYFUNCTION("regexreplace(lower(C58), ""_"", """")"),"motherrace2")</f>
        <v>motherrace2</v>
      </c>
      <c r="J58" s="9" t="b">
        <f t="shared" si="2"/>
        <v>1</v>
      </c>
      <c r="K58" s="7" t="str">
        <f>IFERROR(__xludf.DUMMYFUNCTION("regexreplace(G58, ""_"", """")"),"motherrace2")</f>
        <v>motherrace2</v>
      </c>
      <c r="L58" s="10"/>
      <c r="M58" s="8" t="s">
        <v>224</v>
      </c>
    </row>
    <row r="59">
      <c r="A59" s="10"/>
      <c r="B59" s="7" t="s">
        <v>217</v>
      </c>
      <c r="C59" s="7" t="s">
        <v>261</v>
      </c>
      <c r="D59" s="7" t="s">
        <v>262</v>
      </c>
      <c r="E59" s="10" t="s">
        <v>263</v>
      </c>
      <c r="F59" s="9">
        <f t="shared" si="4"/>
        <v>2</v>
      </c>
      <c r="G59" s="7" t="s">
        <v>264</v>
      </c>
      <c r="H59" s="10"/>
      <c r="I59" s="7" t="str">
        <f>IFERROR(__xludf.DUMMYFUNCTION("regexreplace(lower(C59), ""_"", """")"),"motherethnicity")</f>
        <v>motherethnicity</v>
      </c>
      <c r="J59" s="9" t="b">
        <f t="shared" si="2"/>
        <v>1</v>
      </c>
      <c r="K59" s="7" t="str">
        <f>IFERROR(__xludf.DUMMYFUNCTION("regexreplace(G59, ""_"", """")"),"motherethnicity")</f>
        <v>motherethnicity</v>
      </c>
      <c r="L59" s="19" t="s">
        <v>265</v>
      </c>
      <c r="M59" s="19" t="s">
        <v>266</v>
      </c>
    </row>
    <row r="60">
      <c r="A60" s="10"/>
      <c r="B60" s="7" t="s">
        <v>217</v>
      </c>
      <c r="C60" s="7" t="s">
        <v>267</v>
      </c>
      <c r="D60" s="7" t="s">
        <v>268</v>
      </c>
      <c r="E60" s="10" t="s">
        <v>269</v>
      </c>
      <c r="F60" s="9">
        <f t="shared" si="4"/>
        <v>2</v>
      </c>
      <c r="G60" s="7" t="s">
        <v>270</v>
      </c>
      <c r="H60" s="10"/>
      <c r="I60" s="7" t="str">
        <f>IFERROR(__xludf.DUMMYFUNCTION("regexreplace(lower(C60), ""_"", """")"),"mothermaritalstatus")</f>
        <v>mothermaritalstatus</v>
      </c>
      <c r="J60" s="9" t="b">
        <f t="shared" si="2"/>
        <v>1</v>
      </c>
      <c r="K60" s="7" t="str">
        <f>IFERROR(__xludf.DUMMYFUNCTION("regexreplace(G60, ""_"", """")"),"mothermaritalstatus")</f>
        <v>mothermaritalstatus</v>
      </c>
      <c r="L60" s="10" t="s">
        <v>271</v>
      </c>
      <c r="M60" s="10" t="s">
        <v>272</v>
      </c>
    </row>
    <row r="61">
      <c r="A61" s="10"/>
      <c r="B61" s="7" t="s">
        <v>217</v>
      </c>
      <c r="C61" s="7" t="s">
        <v>273</v>
      </c>
      <c r="D61" s="7" t="s">
        <v>274</v>
      </c>
      <c r="E61" s="10" t="s">
        <v>275</v>
      </c>
      <c r="F61" s="9">
        <f t="shared" si="4"/>
        <v>2</v>
      </c>
      <c r="G61" s="7" t="s">
        <v>276</v>
      </c>
      <c r="H61" s="10"/>
      <c r="I61" s="7" t="str">
        <f>IFERROR(__xludf.DUMMYFUNCTION("regexreplace(lower(C61), ""_"", """")"),"mothereducation")</f>
        <v>mothereducation</v>
      </c>
      <c r="J61" s="9" t="b">
        <f t="shared" si="2"/>
        <v>1</v>
      </c>
      <c r="K61" s="7" t="str">
        <f>IFERROR(__xludf.DUMMYFUNCTION("regexreplace(G61, ""_"", """")"),"mothereducation")</f>
        <v>mothereducation</v>
      </c>
      <c r="L61" s="10" t="s">
        <v>277</v>
      </c>
      <c r="M61" s="10" t="s">
        <v>278</v>
      </c>
    </row>
    <row r="62">
      <c r="A62" s="10"/>
      <c r="B62" s="7" t="s">
        <v>217</v>
      </c>
      <c r="C62" s="16" t="s">
        <v>279</v>
      </c>
      <c r="D62" s="7" t="s">
        <v>280</v>
      </c>
      <c r="E62" s="18" t="s">
        <v>281</v>
      </c>
      <c r="F62" s="9">
        <f t="shared" si="4"/>
        <v>1</v>
      </c>
      <c r="G62" s="16" t="s">
        <v>282</v>
      </c>
      <c r="H62" s="10"/>
      <c r="I62" s="7" t="str">
        <f>IFERROR(__xludf.DUMMYFUNCTION("regexreplace(lower(C62), ""_"", """")"),"mothereducation2")</f>
        <v>mothereducation2</v>
      </c>
      <c r="J62" s="9" t="b">
        <f t="shared" si="2"/>
        <v>1</v>
      </c>
      <c r="K62" s="7" t="str">
        <f>IFERROR(__xludf.DUMMYFUNCTION("regexreplace(G62, ""_"", """")"),"mothereducation2")</f>
        <v>mothereducation2</v>
      </c>
      <c r="L62" s="10"/>
      <c r="M62" s="8" t="s">
        <v>283</v>
      </c>
    </row>
    <row r="63">
      <c r="A63" s="10"/>
      <c r="B63" s="7" t="s">
        <v>217</v>
      </c>
      <c r="C63" s="7" t="s">
        <v>284</v>
      </c>
      <c r="D63" s="7" t="s">
        <v>285</v>
      </c>
      <c r="E63" s="10" t="s">
        <v>286</v>
      </c>
      <c r="F63" s="9">
        <f t="shared" si="4"/>
        <v>1</v>
      </c>
      <c r="G63" s="7" t="s">
        <v>287</v>
      </c>
      <c r="H63" s="10"/>
      <c r="I63" s="7" t="str">
        <f>IFERROR(__xludf.DUMMYFUNCTION("regexreplace(lower(C63), ""_"", """")"),"motherinsurance")</f>
        <v>motherinsurance</v>
      </c>
      <c r="J63" s="9" t="b">
        <f t="shared" si="2"/>
        <v>1</v>
      </c>
      <c r="K63" s="7" t="str">
        <f>IFERROR(__xludf.DUMMYFUNCTION("regexreplace(G63, ""_"", """")"),"motherinsurance")</f>
        <v>motherinsurance</v>
      </c>
      <c r="L63" s="10"/>
      <c r="M63" s="10" t="s">
        <v>288</v>
      </c>
    </row>
    <row r="64">
      <c r="A64" s="10"/>
      <c r="B64" s="7" t="s">
        <v>217</v>
      </c>
      <c r="C64" s="7" t="s">
        <v>289</v>
      </c>
      <c r="D64" s="7" t="s">
        <v>43</v>
      </c>
      <c r="E64" s="18" t="s">
        <v>290</v>
      </c>
      <c r="F64" s="9">
        <f t="shared" si="4"/>
        <v>1</v>
      </c>
      <c r="G64" s="7" t="s">
        <v>291</v>
      </c>
      <c r="H64" s="10"/>
      <c r="I64" s="7" t="str">
        <f>IFERROR(__xludf.DUMMYFUNCTION("regexreplace(lower(C64), ""_"", """")"),"motherinsurancepublic")</f>
        <v>motherinsurancepublic</v>
      </c>
      <c r="J64" s="9" t="b">
        <f t="shared" si="2"/>
        <v>1</v>
      </c>
      <c r="K64" s="7" t="str">
        <f>IFERROR(__xludf.DUMMYFUNCTION("regexreplace(G64, ""_"", """")"),"motherinsurancepublic")</f>
        <v>motherinsurancepublic</v>
      </c>
      <c r="L64" s="10"/>
      <c r="M64" s="8" t="s">
        <v>292</v>
      </c>
    </row>
    <row r="65">
      <c r="A65" s="12"/>
      <c r="B65" s="12"/>
      <c r="C65" s="13"/>
      <c r="D65" s="12"/>
      <c r="E65" s="12"/>
      <c r="F65" s="12"/>
      <c r="G65" s="12"/>
      <c r="H65" s="12"/>
      <c r="I65" s="13" t="str">
        <f>IFERROR(__xludf.DUMMYFUNCTION("regexreplace(lower(C65), ""_"", """")"),"")</f>
        <v/>
      </c>
      <c r="J65" s="14" t="str">
        <f t="shared" si="2"/>
        <v/>
      </c>
      <c r="K65" s="13" t="str">
        <f>IFERROR(__xludf.DUMMYFUNCTION("regexreplace(G65, ""_"", """")"),"")</f>
        <v/>
      </c>
      <c r="L65" s="12"/>
      <c r="M65" s="12"/>
    </row>
    <row r="66">
      <c r="A66" s="5" t="s">
        <v>13</v>
      </c>
      <c r="B66" s="7" t="s">
        <v>293</v>
      </c>
      <c r="C66" s="7" t="s">
        <v>294</v>
      </c>
      <c r="D66" s="7" t="s">
        <v>34</v>
      </c>
      <c r="E66" s="10" t="s">
        <v>295</v>
      </c>
      <c r="F66" s="9">
        <f t="shared" ref="F66:F74" si="5">counta(L66:M66)</f>
        <v>2</v>
      </c>
      <c r="G66" s="7" t="s">
        <v>294</v>
      </c>
      <c r="H66" s="10"/>
      <c r="I66" s="7" t="str">
        <f>IFERROR(__xludf.DUMMYFUNCTION("regexreplace(lower(C66), ""_"", """")"),"gravida")</f>
        <v>gravida</v>
      </c>
      <c r="J66" s="9" t="b">
        <f t="shared" si="2"/>
        <v>1</v>
      </c>
      <c r="K66" s="7" t="str">
        <f>IFERROR(__xludf.DUMMYFUNCTION("regexreplace(G66, ""_"", """")"),"gravida")</f>
        <v>gravida</v>
      </c>
      <c r="L66" s="19" t="s">
        <v>296</v>
      </c>
      <c r="M66" s="19" t="s">
        <v>297</v>
      </c>
    </row>
    <row r="67">
      <c r="A67" s="10"/>
      <c r="B67" s="7" t="s">
        <v>293</v>
      </c>
      <c r="C67" s="7" t="s">
        <v>298</v>
      </c>
      <c r="D67" s="7" t="s">
        <v>34</v>
      </c>
      <c r="E67" s="10" t="s">
        <v>299</v>
      </c>
      <c r="F67" s="9">
        <f t="shared" si="5"/>
        <v>2</v>
      </c>
      <c r="G67" s="7" t="s">
        <v>298</v>
      </c>
      <c r="H67" s="10"/>
      <c r="I67" s="7" t="str">
        <f>IFERROR(__xludf.DUMMYFUNCTION("regexreplace(lower(C67), ""_"", """")"),"parity")</f>
        <v>parity</v>
      </c>
      <c r="J67" s="9" t="b">
        <f t="shared" si="2"/>
        <v>1</v>
      </c>
      <c r="K67" s="7" t="str">
        <f>IFERROR(__xludf.DUMMYFUNCTION("regexreplace(G67, ""_"", """")"),"parity")</f>
        <v>parity</v>
      </c>
      <c r="L67" s="10" t="s">
        <v>300</v>
      </c>
      <c r="M67" s="10" t="s">
        <v>301</v>
      </c>
    </row>
    <row r="68">
      <c r="A68" s="10"/>
      <c r="B68" s="7" t="s">
        <v>293</v>
      </c>
      <c r="C68" s="7" t="s">
        <v>302</v>
      </c>
      <c r="D68" s="7" t="s">
        <v>43</v>
      </c>
      <c r="E68" s="10" t="s">
        <v>303</v>
      </c>
      <c r="F68" s="9">
        <f t="shared" si="5"/>
        <v>2</v>
      </c>
      <c r="G68" s="7" t="s">
        <v>304</v>
      </c>
      <c r="H68" s="10"/>
      <c r="I68" s="7" t="str">
        <f>IFERROR(__xludf.DUMMYFUNCTION("regexreplace(lower(C68), ""_"", """")"),"multiplebirth")</f>
        <v>multiplebirth</v>
      </c>
      <c r="J68" s="9" t="b">
        <f t="shared" si="2"/>
        <v>1</v>
      </c>
      <c r="K68" s="7" t="str">
        <f>IFERROR(__xludf.DUMMYFUNCTION("regexreplace(G68, ""_"", """")"),"multiplebirth")</f>
        <v>multiplebirth</v>
      </c>
      <c r="L68" s="19" t="s">
        <v>305</v>
      </c>
      <c r="M68" s="19" t="s">
        <v>306</v>
      </c>
    </row>
    <row r="69">
      <c r="A69" s="10"/>
      <c r="B69" s="7" t="s">
        <v>293</v>
      </c>
      <c r="C69" s="7" t="s">
        <v>307</v>
      </c>
      <c r="D69" s="7" t="s">
        <v>34</v>
      </c>
      <c r="E69" s="10" t="s">
        <v>308</v>
      </c>
      <c r="F69" s="9">
        <f t="shared" si="5"/>
        <v>2</v>
      </c>
      <c r="G69" s="7" t="s">
        <v>309</v>
      </c>
      <c r="H69" s="10"/>
      <c r="I69" s="7" t="str">
        <f>IFERROR(__xludf.DUMMYFUNCTION("regexreplace(lower(C69), ""_"", """")"),"numfetus")</f>
        <v>numfetus</v>
      </c>
      <c r="J69" s="9" t="b">
        <f t="shared" si="2"/>
        <v>1</v>
      </c>
      <c r="K69" s="7" t="str">
        <f>IFERROR(__xludf.DUMMYFUNCTION("regexreplace(G69, ""_"", """")"),"numfetus")</f>
        <v>numfetus</v>
      </c>
      <c r="L69" s="19" t="s">
        <v>310</v>
      </c>
      <c r="M69" s="19" t="s">
        <v>311</v>
      </c>
    </row>
    <row r="70">
      <c r="A70" s="10"/>
      <c r="B70" s="7" t="s">
        <v>293</v>
      </c>
      <c r="C70" s="7" t="s">
        <v>312</v>
      </c>
      <c r="D70" s="7" t="s">
        <v>43</v>
      </c>
      <c r="E70" s="10" t="s">
        <v>313</v>
      </c>
      <c r="F70" s="9">
        <f t="shared" si="5"/>
        <v>2</v>
      </c>
      <c r="G70" s="7" t="s">
        <v>314</v>
      </c>
      <c r="H70" s="10"/>
      <c r="I70" s="7" t="str">
        <f>IFERROR(__xludf.DUMMYFUNCTION("regexreplace(lower(C70), ""_"", """")"),"prenatalcare")</f>
        <v>prenatalcare</v>
      </c>
      <c r="J70" s="9" t="b">
        <f t="shared" si="2"/>
        <v>1</v>
      </c>
      <c r="K70" s="7" t="str">
        <f>IFERROR(__xludf.DUMMYFUNCTION("regexreplace(G70, ""_"", """")"),"prenatalcare")</f>
        <v>prenatalcare</v>
      </c>
      <c r="L70" s="19" t="s">
        <v>315</v>
      </c>
      <c r="M70" s="19" t="s">
        <v>316</v>
      </c>
    </row>
    <row r="71">
      <c r="A71" s="10"/>
      <c r="B71" s="7" t="s">
        <v>293</v>
      </c>
      <c r="C71" s="11" t="s">
        <v>317</v>
      </c>
      <c r="D71" s="11" t="s">
        <v>43</v>
      </c>
      <c r="E71" s="10" t="s">
        <v>318</v>
      </c>
      <c r="F71" s="9">
        <f t="shared" si="5"/>
        <v>2</v>
      </c>
      <c r="G71" s="7" t="s">
        <v>319</v>
      </c>
      <c r="H71" s="11"/>
      <c r="I71" s="7" t="str">
        <f>IFERROR(__xludf.DUMMYFUNCTION("regexreplace(lower(C71), ""_"", """")"),"hypertensioneclampsia")</f>
        <v>hypertensioneclampsia</v>
      </c>
      <c r="J71" s="9" t="b">
        <f t="shared" si="2"/>
        <v>1</v>
      </c>
      <c r="K71" s="7" t="str">
        <f>IFERROR(__xludf.DUMMYFUNCTION("regexreplace(G71, ""_"", """")"),"hypertensioneclampsia")</f>
        <v>hypertensioneclampsia</v>
      </c>
      <c r="L71" s="19" t="s">
        <v>320</v>
      </c>
      <c r="M71" s="19" t="s">
        <v>321</v>
      </c>
    </row>
    <row r="72">
      <c r="A72" s="10"/>
      <c r="B72" s="7" t="s">
        <v>293</v>
      </c>
      <c r="C72" s="7" t="s">
        <v>322</v>
      </c>
      <c r="D72" s="7" t="s">
        <v>43</v>
      </c>
      <c r="E72" s="10" t="s">
        <v>323</v>
      </c>
      <c r="F72" s="9">
        <f t="shared" si="5"/>
        <v>2</v>
      </c>
      <c r="G72" s="7" t="s">
        <v>324</v>
      </c>
      <c r="H72" s="10"/>
      <c r="I72" s="7" t="str">
        <f>IFERROR(__xludf.DUMMYFUNCTION("regexreplace(lower(C72), ""_"", """")"),"antepartumhemorrhage")</f>
        <v>antepartumhemorrhage</v>
      </c>
      <c r="J72" s="9" t="b">
        <f t="shared" si="2"/>
        <v>1</v>
      </c>
      <c r="K72" s="7" t="str">
        <f>IFERROR(__xludf.DUMMYFUNCTION("regexreplace(G72, ""_"", """")"),"antepartumhemorrhage")</f>
        <v>antepartumhemorrhage</v>
      </c>
      <c r="L72" s="19" t="s">
        <v>325</v>
      </c>
      <c r="M72" s="19" t="s">
        <v>326</v>
      </c>
    </row>
    <row r="73">
      <c r="A73" s="10"/>
      <c r="B73" s="7" t="s">
        <v>293</v>
      </c>
      <c r="C73" s="7" t="s">
        <v>327</v>
      </c>
      <c r="D73" s="7" t="s">
        <v>43</v>
      </c>
      <c r="E73" s="10" t="s">
        <v>328</v>
      </c>
      <c r="F73" s="9">
        <f t="shared" si="5"/>
        <v>2</v>
      </c>
      <c r="G73" s="7" t="s">
        <v>329</v>
      </c>
      <c r="H73" s="10"/>
      <c r="I73" s="7" t="str">
        <f>IFERROR(__xludf.DUMMYFUNCTION("regexreplace(lower(C73), ""_"", """")"),"thyroidmalfunction")</f>
        <v>thyroidmalfunction</v>
      </c>
      <c r="J73" s="9" t="b">
        <f t="shared" si="2"/>
        <v>1</v>
      </c>
      <c r="K73" s="7" t="str">
        <f>IFERROR(__xludf.DUMMYFUNCTION("regexreplace(G73, ""_"", """")"),"thyroidmalfunction")</f>
        <v>thyroidmalfunction</v>
      </c>
      <c r="L73" s="10" t="s">
        <v>330</v>
      </c>
      <c r="M73" s="10" t="s">
        <v>331</v>
      </c>
    </row>
    <row r="74">
      <c r="A74" s="10"/>
      <c r="B74" s="7" t="s">
        <v>293</v>
      </c>
      <c r="C74" s="7" t="s">
        <v>332</v>
      </c>
      <c r="D74" s="7" t="s">
        <v>43</v>
      </c>
      <c r="E74" s="10" t="s">
        <v>333</v>
      </c>
      <c r="F74" s="9">
        <f t="shared" si="5"/>
        <v>2</v>
      </c>
      <c r="G74" s="7" t="s">
        <v>332</v>
      </c>
      <c r="H74" s="10"/>
      <c r="I74" s="7" t="str">
        <f>IFERROR(__xludf.DUMMYFUNCTION("regexreplace(lower(C74), ""_"", """")"),"diabetes")</f>
        <v>diabetes</v>
      </c>
      <c r="J74" s="9" t="b">
        <f t="shared" si="2"/>
        <v>1</v>
      </c>
      <c r="K74" s="7" t="str">
        <f>IFERROR(__xludf.DUMMYFUNCTION("regexreplace(G74, ""_"", """")"),"diabetes")</f>
        <v>diabetes</v>
      </c>
      <c r="L74" s="10" t="s">
        <v>334</v>
      </c>
      <c r="M74" s="10" t="s">
        <v>335</v>
      </c>
    </row>
    <row r="75">
      <c r="A75" s="12"/>
      <c r="B75" s="12"/>
      <c r="C75" s="13"/>
      <c r="D75" s="12"/>
      <c r="E75" s="12"/>
      <c r="F75" s="12"/>
      <c r="G75" s="12"/>
      <c r="H75" s="12"/>
      <c r="I75" s="13" t="str">
        <f>IFERROR(__xludf.DUMMYFUNCTION("regexreplace(lower(C75), ""_"", """")"),"")</f>
        <v/>
      </c>
      <c r="J75" s="14" t="str">
        <f t="shared" si="2"/>
        <v/>
      </c>
      <c r="K75" s="13" t="str">
        <f>IFERROR(__xludf.DUMMYFUNCTION("regexreplace(G75, ""_"", """")"),"")</f>
        <v/>
      </c>
      <c r="L75" s="12"/>
      <c r="M75" s="12"/>
    </row>
    <row r="76">
      <c r="A76" s="5" t="s">
        <v>13</v>
      </c>
      <c r="B76" s="7" t="s">
        <v>336</v>
      </c>
      <c r="C76" s="7" t="s">
        <v>337</v>
      </c>
      <c r="D76" s="7" t="s">
        <v>29</v>
      </c>
      <c r="E76" s="15" t="s">
        <v>338</v>
      </c>
      <c r="F76" s="9">
        <f t="shared" ref="F76:F107" si="6">counta(L76:M76)</f>
        <v>2</v>
      </c>
      <c r="G76" s="7" t="s">
        <v>339</v>
      </c>
      <c r="H76" s="10"/>
      <c r="I76" s="7" t="str">
        <f>IFERROR(__xludf.DUMMYFUNCTION("regexreplace(lower(C76), ""_"", """")"),"maternaladmissiondate")</f>
        <v>maternaladmissiondate</v>
      </c>
      <c r="J76" s="9" t="b">
        <f t="shared" si="2"/>
        <v>1</v>
      </c>
      <c r="K76" s="7" t="str">
        <f>IFERROR(__xludf.DUMMYFUNCTION("regexreplace(G76, ""_"", """")"),"maternaladmissiondate")</f>
        <v>maternaladmissiondate</v>
      </c>
      <c r="L76" s="19" t="s">
        <v>340</v>
      </c>
      <c r="M76" s="19" t="s">
        <v>341</v>
      </c>
    </row>
    <row r="77">
      <c r="A77" s="10"/>
      <c r="B77" s="7" t="s">
        <v>336</v>
      </c>
      <c r="C77" s="7" t="s">
        <v>342</v>
      </c>
      <c r="D77" s="7" t="s">
        <v>148</v>
      </c>
      <c r="E77" s="15" t="s">
        <v>343</v>
      </c>
      <c r="F77" s="9">
        <f t="shared" si="6"/>
        <v>2</v>
      </c>
      <c r="G77" s="7" t="s">
        <v>344</v>
      </c>
      <c r="H77" s="10"/>
      <c r="I77" s="7" t="str">
        <f>IFERROR(__xludf.DUMMYFUNCTION("regexreplace(lower(C77), ""_"", """")"),"maternaladmissiontime")</f>
        <v>maternaladmissiontime</v>
      </c>
      <c r="J77" s="9" t="b">
        <f t="shared" si="2"/>
        <v>1</v>
      </c>
      <c r="K77" s="7" t="str">
        <f>IFERROR(__xludf.DUMMYFUNCTION("regexreplace(G77, ""_"", """")"),"maternaladmissiontime")</f>
        <v>maternaladmissiontime</v>
      </c>
      <c r="L77" s="19" t="s">
        <v>345</v>
      </c>
      <c r="M77" s="19" t="s">
        <v>346</v>
      </c>
    </row>
    <row r="78">
      <c r="A78" s="10"/>
      <c r="B78" s="7" t="s">
        <v>336</v>
      </c>
      <c r="C78" s="7" t="s">
        <v>347</v>
      </c>
      <c r="D78" s="7" t="s">
        <v>29</v>
      </c>
      <c r="E78" s="15" t="s">
        <v>348</v>
      </c>
      <c r="F78" s="9">
        <f t="shared" si="6"/>
        <v>2</v>
      </c>
      <c r="G78" s="7" t="s">
        <v>349</v>
      </c>
      <c r="H78" s="10"/>
      <c r="I78" s="7" t="str">
        <f>IFERROR(__xludf.DUMMYFUNCTION("regexreplace(lower(C78), ""_"", """")"),"rupturedate")</f>
        <v>rupturedate</v>
      </c>
      <c r="J78" s="9" t="b">
        <f t="shared" si="2"/>
        <v>1</v>
      </c>
      <c r="K78" s="7" t="str">
        <f>IFERROR(__xludf.DUMMYFUNCTION("regexreplace(G78, ""_"", """")"),"rupturedate")</f>
        <v>rupturedate</v>
      </c>
      <c r="L78" s="19" t="s">
        <v>350</v>
      </c>
      <c r="M78" s="19" t="s">
        <v>351</v>
      </c>
    </row>
    <row r="79">
      <c r="A79" s="10"/>
      <c r="B79" s="7" t="s">
        <v>336</v>
      </c>
      <c r="C79" s="7" t="s">
        <v>352</v>
      </c>
      <c r="D79" s="7" t="s">
        <v>148</v>
      </c>
      <c r="E79" s="15" t="s">
        <v>353</v>
      </c>
      <c r="F79" s="9">
        <f t="shared" si="6"/>
        <v>2</v>
      </c>
      <c r="G79" s="7" t="s">
        <v>354</v>
      </c>
      <c r="H79" s="10"/>
      <c r="I79" s="7" t="str">
        <f>IFERROR(__xludf.DUMMYFUNCTION("regexreplace(lower(C79), ""_"", """")"),"rupturetime")</f>
        <v>rupturetime</v>
      </c>
      <c r="J79" s="9" t="b">
        <f t="shared" si="2"/>
        <v>1</v>
      </c>
      <c r="K79" s="7" t="str">
        <f>IFERROR(__xludf.DUMMYFUNCTION("regexreplace(G79, ""_"", """")"),"rupturetime")</f>
        <v>rupturetime</v>
      </c>
      <c r="L79" s="19" t="s">
        <v>355</v>
      </c>
      <c r="M79" s="19" t="s">
        <v>356</v>
      </c>
    </row>
    <row r="80">
      <c r="A80" s="10"/>
      <c r="B80" s="7" t="s">
        <v>336</v>
      </c>
      <c r="C80" s="16" t="s">
        <v>357</v>
      </c>
      <c r="D80" s="7" t="s">
        <v>43</v>
      </c>
      <c r="E80" s="15" t="s">
        <v>358</v>
      </c>
      <c r="F80" s="9">
        <f t="shared" si="6"/>
        <v>2</v>
      </c>
      <c r="G80" s="16" t="s">
        <v>359</v>
      </c>
      <c r="H80" s="10"/>
      <c r="I80" s="7" t="str">
        <f>IFERROR(__xludf.DUMMYFUNCTION("regexreplace(lower(C80), ""_"", """")"),"rupturegreater18hr")</f>
        <v>rupturegreater18hr</v>
      </c>
      <c r="J80" s="9" t="b">
        <f t="shared" si="2"/>
        <v>1</v>
      </c>
      <c r="K80" s="7" t="str">
        <f>IFERROR(__xludf.DUMMYFUNCTION("regexreplace(G80, ""_"", """")"),"rupturegreater18hr")</f>
        <v>rupturegreater18hr</v>
      </c>
      <c r="L80" s="19" t="s">
        <v>360</v>
      </c>
      <c r="M80" s="19" t="s">
        <v>361</v>
      </c>
    </row>
    <row r="81">
      <c r="A81" s="10"/>
      <c r="B81" s="7" t="s">
        <v>336</v>
      </c>
      <c r="C81" s="7" t="s">
        <v>362</v>
      </c>
      <c r="D81" s="7" t="s">
        <v>43</v>
      </c>
      <c r="E81" s="10" t="s">
        <v>363</v>
      </c>
      <c r="F81" s="9">
        <f t="shared" si="6"/>
        <v>1</v>
      </c>
      <c r="G81" s="7" t="s">
        <v>364</v>
      </c>
      <c r="H81" s="7"/>
      <c r="I81" s="7" t="str">
        <f>IFERROR(__xludf.DUMMYFUNCTION("regexreplace(lower(C81), ""_"", """")"),"rupturebeforedelivery")</f>
        <v>rupturebeforedelivery</v>
      </c>
      <c r="J81" s="9" t="b">
        <f t="shared" si="2"/>
        <v>1</v>
      </c>
      <c r="K81" s="7" t="str">
        <f>IFERROR(__xludf.DUMMYFUNCTION("regexreplace(G81, ""_"", """")"),"rupturebeforedelivery")</f>
        <v>rupturebeforedelivery</v>
      </c>
      <c r="L81" s="10"/>
      <c r="M81" s="10" t="s">
        <v>365</v>
      </c>
    </row>
    <row r="82">
      <c r="A82" s="10"/>
      <c r="B82" s="7" t="s">
        <v>336</v>
      </c>
      <c r="C82" s="7" t="s">
        <v>366</v>
      </c>
      <c r="D82" s="7" t="s">
        <v>43</v>
      </c>
      <c r="E82" s="23" t="s">
        <v>367</v>
      </c>
      <c r="F82" s="9">
        <f t="shared" si="6"/>
        <v>1</v>
      </c>
      <c r="G82" s="7" t="s">
        <v>366</v>
      </c>
      <c r="H82" s="10"/>
      <c r="I82" s="7" t="str">
        <f>IFERROR(__xludf.DUMMYFUNCTION("regexreplace(lower(C82), ""_"", """")"),"labor")</f>
        <v>labor</v>
      </c>
      <c r="J82" s="9" t="b">
        <f t="shared" si="2"/>
        <v>1</v>
      </c>
      <c r="K82" s="7" t="str">
        <f>IFERROR(__xludf.DUMMYFUNCTION("regexreplace(G82, ""_"", """")"),"labor")</f>
        <v>labor</v>
      </c>
      <c r="L82" s="17" t="s">
        <v>368</v>
      </c>
      <c r="M82" s="10"/>
    </row>
    <row r="83">
      <c r="A83" s="10"/>
      <c r="B83" s="7" t="s">
        <v>336</v>
      </c>
      <c r="C83" s="7" t="s">
        <v>369</v>
      </c>
      <c r="D83" s="7" t="s">
        <v>29</v>
      </c>
      <c r="E83" s="23" t="s">
        <v>370</v>
      </c>
      <c r="F83" s="9">
        <f t="shared" si="6"/>
        <v>1</v>
      </c>
      <c r="G83" s="7" t="s">
        <v>371</v>
      </c>
      <c r="H83" s="10"/>
      <c r="I83" s="7" t="str">
        <f>IFERROR(__xludf.DUMMYFUNCTION("regexreplace(lower(C83), ""_"", """")"),"laboronsetdate")</f>
        <v>laboronsetdate</v>
      </c>
      <c r="J83" s="9" t="b">
        <f t="shared" si="2"/>
        <v>1</v>
      </c>
      <c r="K83" s="7" t="str">
        <f>IFERROR(__xludf.DUMMYFUNCTION("regexreplace(G83, ""_"", """")"),"laboronsetdate")</f>
        <v>laboronsetdate</v>
      </c>
      <c r="L83" s="17" t="s">
        <v>372</v>
      </c>
      <c r="M83" s="10"/>
    </row>
    <row r="84">
      <c r="A84" s="10"/>
      <c r="B84" s="7" t="s">
        <v>336</v>
      </c>
      <c r="C84" s="7" t="s">
        <v>373</v>
      </c>
      <c r="D84" s="7" t="s">
        <v>148</v>
      </c>
      <c r="E84" s="23" t="s">
        <v>374</v>
      </c>
      <c r="F84" s="9">
        <f t="shared" si="6"/>
        <v>1</v>
      </c>
      <c r="G84" s="7" t="s">
        <v>375</v>
      </c>
      <c r="H84" s="10"/>
      <c r="I84" s="7" t="str">
        <f>IFERROR(__xludf.DUMMYFUNCTION("regexreplace(lower(C84), ""_"", """")"),"laboronsettime")</f>
        <v>laboronsettime</v>
      </c>
      <c r="J84" s="9" t="b">
        <f t="shared" si="2"/>
        <v>1</v>
      </c>
      <c r="K84" s="7" t="str">
        <f>IFERROR(__xludf.DUMMYFUNCTION("regexreplace(G84, ""_"", """")"),"laboronsettime")</f>
        <v>laboronsettime</v>
      </c>
      <c r="L84" s="17" t="s">
        <v>376</v>
      </c>
      <c r="M84" s="10"/>
    </row>
    <row r="85">
      <c r="A85" s="10"/>
      <c r="B85" s="7" t="s">
        <v>336</v>
      </c>
      <c r="C85" s="7" t="s">
        <v>377</v>
      </c>
      <c r="D85" s="7" t="s">
        <v>377</v>
      </c>
      <c r="E85" s="10" t="s">
        <v>378</v>
      </c>
      <c r="F85" s="9">
        <f t="shared" si="6"/>
        <v>2</v>
      </c>
      <c r="G85" s="7" t="s">
        <v>379</v>
      </c>
      <c r="H85" s="10"/>
      <c r="I85" s="7" t="str">
        <f>IFERROR(__xludf.DUMMYFUNCTION("regexreplace(lower(C85), ""_"", """")"),"deliverymode")</f>
        <v>deliverymode</v>
      </c>
      <c r="J85" s="9" t="b">
        <f t="shared" si="2"/>
        <v>1</v>
      </c>
      <c r="K85" s="7" t="str">
        <f>IFERROR(__xludf.DUMMYFUNCTION("regexreplace(G85, ""_"", """")"),"deliverymode")</f>
        <v>deliverymode</v>
      </c>
      <c r="L85" s="10" t="s">
        <v>380</v>
      </c>
      <c r="M85" s="10" t="s">
        <v>381</v>
      </c>
    </row>
    <row r="86">
      <c r="A86" s="10"/>
      <c r="B86" s="7" t="s">
        <v>336</v>
      </c>
      <c r="C86" s="11" t="s">
        <v>382</v>
      </c>
      <c r="D86" s="11" t="s">
        <v>43</v>
      </c>
      <c r="E86" s="10" t="s">
        <v>383</v>
      </c>
      <c r="F86" s="9">
        <f t="shared" si="6"/>
        <v>2</v>
      </c>
      <c r="G86" s="7" t="s">
        <v>384</v>
      </c>
      <c r="H86" s="10"/>
      <c r="I86" s="7" t="str">
        <f>IFERROR(__xludf.DUMMYFUNCTION("regexreplace(lower(C86), ""_"", """")"),"fetaldecelerate")</f>
        <v>fetaldecelerate</v>
      </c>
      <c r="J86" s="9" t="b">
        <f t="shared" si="2"/>
        <v>1</v>
      </c>
      <c r="K86" s="7" t="str">
        <f>IFERROR(__xludf.DUMMYFUNCTION("regexreplace(G86, ""_"", """")"),"fetaldecelerate")</f>
        <v>fetaldecelerate</v>
      </c>
      <c r="L86" s="19" t="s">
        <v>385</v>
      </c>
      <c r="M86" s="19" t="s">
        <v>386</v>
      </c>
    </row>
    <row r="87">
      <c r="A87" s="10"/>
      <c r="B87" s="7" t="s">
        <v>336</v>
      </c>
      <c r="C87" s="7" t="s">
        <v>387</v>
      </c>
      <c r="D87" s="7" t="s">
        <v>43</v>
      </c>
      <c r="E87" s="10" t="s">
        <v>388</v>
      </c>
      <c r="F87" s="9">
        <f t="shared" si="6"/>
        <v>2</v>
      </c>
      <c r="G87" s="7" t="s">
        <v>389</v>
      </c>
      <c r="H87" s="7"/>
      <c r="I87" s="7" t="str">
        <f>IFERROR(__xludf.DUMMYFUNCTION("regexreplace(lower(C87), ""_"", """")"),"cordmishap")</f>
        <v>cordmishap</v>
      </c>
      <c r="J87" s="9" t="b">
        <f t="shared" si="2"/>
        <v>1</v>
      </c>
      <c r="K87" s="7" t="str">
        <f>IFERROR(__xludf.DUMMYFUNCTION("regexreplace(G87, ""_"", """")"),"cordmishap")</f>
        <v>cordmishap</v>
      </c>
      <c r="L87" s="10" t="s">
        <v>390</v>
      </c>
      <c r="M87" s="10" t="s">
        <v>391</v>
      </c>
    </row>
    <row r="88">
      <c r="A88" s="10"/>
      <c r="B88" s="7" t="s">
        <v>336</v>
      </c>
      <c r="C88" s="7" t="s">
        <v>392</v>
      </c>
      <c r="D88" s="7" t="s">
        <v>43</v>
      </c>
      <c r="E88" s="10" t="s">
        <v>393</v>
      </c>
      <c r="F88" s="9">
        <f t="shared" si="6"/>
        <v>2</v>
      </c>
      <c r="G88" s="7" t="s">
        <v>394</v>
      </c>
      <c r="H88" s="10"/>
      <c r="I88" s="7" t="str">
        <f>IFERROR(__xludf.DUMMYFUNCTION("regexreplace(lower(C88), ""_"", """")"),"uterinerupture")</f>
        <v>uterinerupture</v>
      </c>
      <c r="J88" s="9" t="b">
        <f t="shared" si="2"/>
        <v>1</v>
      </c>
      <c r="K88" s="7" t="str">
        <f>IFERROR(__xludf.DUMMYFUNCTION("regexreplace(G88, ""_"", """")"),"uterinerupture")</f>
        <v>uterinerupture</v>
      </c>
      <c r="L88" s="10" t="s">
        <v>395</v>
      </c>
      <c r="M88" s="10" t="s">
        <v>396</v>
      </c>
    </row>
    <row r="89">
      <c r="A89" s="10"/>
      <c r="B89" s="7" t="s">
        <v>336</v>
      </c>
      <c r="C89" s="7" t="s">
        <v>397</v>
      </c>
      <c r="D89" s="7" t="s">
        <v>43</v>
      </c>
      <c r="E89" s="10" t="s">
        <v>398</v>
      </c>
      <c r="F89" s="9">
        <f t="shared" si="6"/>
        <v>2</v>
      </c>
      <c r="G89" s="7" t="s">
        <v>399</v>
      </c>
      <c r="H89" s="10"/>
      <c r="I89" s="7" t="str">
        <f>IFERROR(__xludf.DUMMYFUNCTION("regexreplace(lower(C89), ""_"", """")"),"shoulderdystocia")</f>
        <v>shoulderdystocia</v>
      </c>
      <c r="J89" s="9" t="b">
        <f t="shared" si="2"/>
        <v>1</v>
      </c>
      <c r="K89" s="7" t="str">
        <f>IFERROR(__xludf.DUMMYFUNCTION("regexreplace(G89, ""_"", """")"),"shoulderdystocia")</f>
        <v>shoulderdystocia</v>
      </c>
      <c r="L89" s="19" t="s">
        <v>400</v>
      </c>
      <c r="M89" s="19" t="s">
        <v>401</v>
      </c>
    </row>
    <row r="90">
      <c r="A90" s="10"/>
      <c r="B90" s="7" t="s">
        <v>336</v>
      </c>
      <c r="C90" s="7" t="s">
        <v>402</v>
      </c>
      <c r="D90" s="7" t="s">
        <v>43</v>
      </c>
      <c r="E90" s="10" t="s">
        <v>403</v>
      </c>
      <c r="F90" s="9">
        <f t="shared" si="6"/>
        <v>2</v>
      </c>
      <c r="G90" s="7" t="s">
        <v>404</v>
      </c>
      <c r="H90" s="10"/>
      <c r="I90" s="7" t="str">
        <f>IFERROR(__xludf.DUMMYFUNCTION("regexreplace(lower(C90), ""_"", """")"),"placentalproblem")</f>
        <v>placentalproblem</v>
      </c>
      <c r="J90" s="9" t="b">
        <f t="shared" si="2"/>
        <v>1</v>
      </c>
      <c r="K90" s="7" t="str">
        <f>IFERROR(__xludf.DUMMYFUNCTION("regexreplace(G90, ""_"", """")"),"placentalproblem")</f>
        <v>placentalproblem</v>
      </c>
      <c r="L90" s="19" t="s">
        <v>405</v>
      </c>
      <c r="M90" s="19" t="s">
        <v>406</v>
      </c>
    </row>
    <row r="91">
      <c r="A91" s="10"/>
      <c r="B91" s="7" t="s">
        <v>336</v>
      </c>
      <c r="C91" s="7" t="s">
        <v>407</v>
      </c>
      <c r="D91" s="7" t="s">
        <v>43</v>
      </c>
      <c r="E91" s="10" t="s">
        <v>408</v>
      </c>
      <c r="F91" s="9">
        <f t="shared" si="6"/>
        <v>2</v>
      </c>
      <c r="G91" s="7" t="s">
        <v>409</v>
      </c>
      <c r="H91" s="10"/>
      <c r="I91" s="7" t="str">
        <f>IFERROR(__xludf.DUMMYFUNCTION("regexreplace(lower(C91), ""_"", """")"),"maternalhemorrhage")</f>
        <v>maternalhemorrhage</v>
      </c>
      <c r="J91" s="9" t="b">
        <f t="shared" si="2"/>
        <v>1</v>
      </c>
      <c r="K91" s="7" t="str">
        <f>IFERROR(__xludf.DUMMYFUNCTION("regexreplace(G91, ""_"", """")"),"maternalhemorrhage")</f>
        <v>maternalhemorrhage</v>
      </c>
      <c r="L91" s="19" t="s">
        <v>410</v>
      </c>
      <c r="M91" s="19" t="s">
        <v>411</v>
      </c>
    </row>
    <row r="92">
      <c r="A92" s="10"/>
      <c r="B92" s="7" t="s">
        <v>336</v>
      </c>
      <c r="C92" s="7" t="s">
        <v>412</v>
      </c>
      <c r="D92" s="7" t="s">
        <v>43</v>
      </c>
      <c r="E92" s="10" t="s">
        <v>413</v>
      </c>
      <c r="F92" s="9">
        <f t="shared" si="6"/>
        <v>2</v>
      </c>
      <c r="G92" s="7" t="s">
        <v>414</v>
      </c>
      <c r="H92" s="10"/>
      <c r="I92" s="7" t="str">
        <f>IFERROR(__xludf.DUMMYFUNCTION("regexreplace(lower(C92), ""_"", """")"),"maternaltrauma")</f>
        <v>maternaltrauma</v>
      </c>
      <c r="J92" s="9" t="b">
        <f t="shared" si="2"/>
        <v>1</v>
      </c>
      <c r="K92" s="7" t="str">
        <f>IFERROR(__xludf.DUMMYFUNCTION("regexreplace(G92, ""_"", """")"),"maternaltrauma")</f>
        <v>maternaltrauma</v>
      </c>
      <c r="L92" s="19" t="s">
        <v>415</v>
      </c>
      <c r="M92" s="19" t="s">
        <v>416</v>
      </c>
    </row>
    <row r="93">
      <c r="A93" s="10"/>
      <c r="B93" s="7" t="s">
        <v>336</v>
      </c>
      <c r="C93" s="7" t="s">
        <v>417</v>
      </c>
      <c r="D93" s="7" t="s">
        <v>43</v>
      </c>
      <c r="E93" s="10" t="s">
        <v>418</v>
      </c>
      <c r="F93" s="9">
        <f t="shared" si="6"/>
        <v>2</v>
      </c>
      <c r="G93" s="7" t="s">
        <v>419</v>
      </c>
      <c r="H93" s="10"/>
      <c r="I93" s="7" t="str">
        <f>IFERROR(__xludf.DUMMYFUNCTION("regexreplace(lower(C93), ""_"", """")"),"maternalcardiorespiratoryarrest")</f>
        <v>maternalcardiorespiratoryarrest</v>
      </c>
      <c r="J93" s="9" t="b">
        <f t="shared" si="2"/>
        <v>1</v>
      </c>
      <c r="K93" s="7" t="str">
        <f>IFERROR(__xludf.DUMMYFUNCTION("regexreplace(G93, ""_"", """")"),"maternalcardiorespiratoryarrest")</f>
        <v>maternalcardiorespiratoryarrest</v>
      </c>
      <c r="L93" s="19" t="s">
        <v>420</v>
      </c>
      <c r="M93" s="19" t="s">
        <v>421</v>
      </c>
    </row>
    <row r="94">
      <c r="A94" s="10"/>
      <c r="B94" s="7" t="s">
        <v>336</v>
      </c>
      <c r="C94" s="7" t="s">
        <v>422</v>
      </c>
      <c r="D94" s="7" t="s">
        <v>43</v>
      </c>
      <c r="E94" s="10" t="s">
        <v>423</v>
      </c>
      <c r="F94" s="9">
        <f t="shared" si="6"/>
        <v>2</v>
      </c>
      <c r="G94" s="7" t="s">
        <v>424</v>
      </c>
      <c r="H94" s="10"/>
      <c r="I94" s="7" t="str">
        <f>IFERROR(__xludf.DUMMYFUNCTION("regexreplace(lower(C94), ""_"", """")"),"maternalseizure")</f>
        <v>maternalseizure</v>
      </c>
      <c r="J94" s="9" t="b">
        <f t="shared" si="2"/>
        <v>1</v>
      </c>
      <c r="K94" s="7" t="str">
        <f>IFERROR(__xludf.DUMMYFUNCTION("regexreplace(G94, ""_"", """")"),"maternalseizure")</f>
        <v>maternalseizure</v>
      </c>
      <c r="L94" s="19" t="s">
        <v>425</v>
      </c>
      <c r="M94" s="19" t="s">
        <v>426</v>
      </c>
    </row>
    <row r="95">
      <c r="A95" s="10"/>
      <c r="B95" s="7" t="s">
        <v>336</v>
      </c>
      <c r="C95" s="7" t="s">
        <v>427</v>
      </c>
      <c r="D95" s="7" t="s">
        <v>43</v>
      </c>
      <c r="E95" s="18" t="s">
        <v>428</v>
      </c>
      <c r="F95" s="9">
        <f t="shared" si="6"/>
        <v>1</v>
      </c>
      <c r="G95" s="7" t="s">
        <v>429</v>
      </c>
      <c r="H95" s="10"/>
      <c r="I95" s="7" t="str">
        <f>IFERROR(__xludf.DUMMYFUNCTION("regexreplace(lower(C95), ""_"", """")"),"perinatalsentinelevent")</f>
        <v>perinatalsentinelevent</v>
      </c>
      <c r="J95" s="9" t="b">
        <f t="shared" si="2"/>
        <v>1</v>
      </c>
      <c r="K95" s="7" t="str">
        <f>IFERROR(__xludf.DUMMYFUNCTION("regexreplace(G95, ""_"", """")"),"perinatalsentinelevent")</f>
        <v>perinatalsentinelevent</v>
      </c>
      <c r="L95" s="10"/>
      <c r="M95" s="8" t="s">
        <v>430</v>
      </c>
    </row>
    <row r="96">
      <c r="A96" s="10"/>
      <c r="B96" s="7" t="s">
        <v>336</v>
      </c>
      <c r="C96" s="16" t="s">
        <v>431</v>
      </c>
      <c r="D96" s="7" t="s">
        <v>43</v>
      </c>
      <c r="E96" s="10" t="s">
        <v>432</v>
      </c>
      <c r="F96" s="9">
        <f t="shared" si="6"/>
        <v>2</v>
      </c>
      <c r="G96" s="16" t="s">
        <v>433</v>
      </c>
      <c r="H96" s="10"/>
      <c r="I96" s="7" t="str">
        <f>IFERROR(__xludf.DUMMYFUNCTION("regexreplace(lower(C96), ""_"", """")"),"pyrexiagreater37p6c")</f>
        <v>pyrexiagreater37p6c</v>
      </c>
      <c r="J96" s="9" t="b">
        <f t="shared" si="2"/>
        <v>1</v>
      </c>
      <c r="K96" s="7" t="str">
        <f>IFERROR(__xludf.DUMMYFUNCTION("regexreplace(G96, ""_"", """")"),"pyrexiagreater37p6c")</f>
        <v>pyrexiagreater37p6c</v>
      </c>
      <c r="L96" s="19" t="s">
        <v>434</v>
      </c>
      <c r="M96" s="19" t="s">
        <v>435</v>
      </c>
    </row>
    <row r="97">
      <c r="A97" s="10"/>
      <c r="B97" s="7" t="s">
        <v>336</v>
      </c>
      <c r="C97" s="7" t="s">
        <v>436</v>
      </c>
      <c r="D97" s="7" t="s">
        <v>43</v>
      </c>
      <c r="E97" s="10" t="s">
        <v>437</v>
      </c>
      <c r="F97" s="9">
        <f t="shared" si="6"/>
        <v>2</v>
      </c>
      <c r="G97" s="7" t="s">
        <v>436</v>
      </c>
      <c r="H97" s="10"/>
      <c r="I97" s="7" t="str">
        <f>IFERROR(__xludf.DUMMYFUNCTION("regexreplace(lower(C97), ""_"", """")"),"chorioamnionitis")</f>
        <v>chorioamnionitis</v>
      </c>
      <c r="J97" s="9" t="b">
        <f t="shared" si="2"/>
        <v>1</v>
      </c>
      <c r="K97" s="7" t="str">
        <f>IFERROR(__xludf.DUMMYFUNCTION("regexreplace(G97, ""_"", """")"),"chorioamnionitis")</f>
        <v>chorioamnionitis</v>
      </c>
      <c r="L97" s="19" t="s">
        <v>438</v>
      </c>
      <c r="M97" s="19" t="s">
        <v>439</v>
      </c>
    </row>
    <row r="98">
      <c r="A98" s="10"/>
      <c r="B98" s="7" t="s">
        <v>336</v>
      </c>
      <c r="C98" s="7" t="s">
        <v>440</v>
      </c>
      <c r="D98" s="7" t="s">
        <v>43</v>
      </c>
      <c r="E98" s="10" t="s">
        <v>441</v>
      </c>
      <c r="F98" s="9">
        <f t="shared" si="6"/>
        <v>2</v>
      </c>
      <c r="G98" s="7" t="s">
        <v>442</v>
      </c>
      <c r="H98" s="10"/>
      <c r="I98" s="7" t="str">
        <f>IFERROR(__xludf.DUMMYFUNCTION("regexreplace(lower(C98), ""_"", """")"),"placentalpathologyperformed")</f>
        <v>placentalpathologyperformed</v>
      </c>
      <c r="J98" s="9" t="b">
        <f t="shared" si="2"/>
        <v>1</v>
      </c>
      <c r="K98" s="7" t="str">
        <f>IFERROR(__xludf.DUMMYFUNCTION("regexreplace(G98, ""_"", """")"),"placentalpathologyperformed")</f>
        <v>placentalpathologyperformed</v>
      </c>
      <c r="L98" s="19" t="s">
        <v>443</v>
      </c>
      <c r="M98" s="19" t="s">
        <v>444</v>
      </c>
    </row>
    <row r="99">
      <c r="A99" s="10"/>
      <c r="B99" s="7" t="s">
        <v>336</v>
      </c>
      <c r="C99" s="7" t="s">
        <v>445</v>
      </c>
      <c r="D99" s="7" t="s">
        <v>43</v>
      </c>
      <c r="E99" s="10" t="s">
        <v>446</v>
      </c>
      <c r="F99" s="9">
        <f t="shared" si="6"/>
        <v>2</v>
      </c>
      <c r="G99" s="7" t="s">
        <v>447</v>
      </c>
      <c r="H99" s="10"/>
      <c r="I99" s="7" t="str">
        <f>IFERROR(__xludf.DUMMYFUNCTION("regexreplace(lower(C99), ""_"", """")"),"histologicchorioamionitis")</f>
        <v>histologicchorioamionitis</v>
      </c>
      <c r="J99" s="9" t="b">
        <f t="shared" si="2"/>
        <v>1</v>
      </c>
      <c r="K99" s="7" t="str">
        <f>IFERROR(__xludf.DUMMYFUNCTION("regexreplace(G99, ""_"", """")"),"histologicchorioamionitis")</f>
        <v>histologicchorioamionitis</v>
      </c>
      <c r="L99" s="19" t="s">
        <v>448</v>
      </c>
      <c r="M99" s="19" t="s">
        <v>449</v>
      </c>
    </row>
    <row r="100">
      <c r="A100" s="10"/>
      <c r="B100" s="7" t="s">
        <v>336</v>
      </c>
      <c r="C100" s="7" t="s">
        <v>450</v>
      </c>
      <c r="D100" s="7" t="s">
        <v>43</v>
      </c>
      <c r="E100" s="10" t="s">
        <v>451</v>
      </c>
      <c r="F100" s="9">
        <f t="shared" si="6"/>
        <v>2</v>
      </c>
      <c r="G100" s="7" t="s">
        <v>452</v>
      </c>
      <c r="H100" s="10"/>
      <c r="I100" s="7" t="str">
        <f>IFERROR(__xludf.DUMMYFUNCTION("regexreplace(lower(C100), ""_"", """")"),"laborantibiotics")</f>
        <v>laborantibiotics</v>
      </c>
      <c r="J100" s="9" t="b">
        <f t="shared" si="2"/>
        <v>1</v>
      </c>
      <c r="K100" s="7" t="str">
        <f>IFERROR(__xludf.DUMMYFUNCTION("regexreplace(G100, ""_"", """")"),"laborantibiotics")</f>
        <v>laborantibiotics</v>
      </c>
      <c r="L100" s="10" t="s">
        <v>453</v>
      </c>
      <c r="M100" s="10" t="s">
        <v>454</v>
      </c>
    </row>
    <row r="101">
      <c r="A101" s="10"/>
      <c r="B101" s="7" t="s">
        <v>336</v>
      </c>
      <c r="C101" s="7" t="s">
        <v>455</v>
      </c>
      <c r="D101" s="7" t="s">
        <v>456</v>
      </c>
      <c r="E101" s="15" t="s">
        <v>457</v>
      </c>
      <c r="F101" s="9">
        <f t="shared" si="6"/>
        <v>2</v>
      </c>
      <c r="G101" s="7" t="s">
        <v>458</v>
      </c>
      <c r="H101" s="10"/>
      <c r="I101" s="7" t="str">
        <f>IFERROR(__xludf.DUMMYFUNCTION("regexreplace(lower(C101), ""_"", """")"),"laborantibioticscode1")</f>
        <v>laborantibioticscode1</v>
      </c>
      <c r="J101" s="9" t="b">
        <f t="shared" si="2"/>
        <v>1</v>
      </c>
      <c r="K101" s="7" t="str">
        <f>IFERROR(__xludf.DUMMYFUNCTION("regexreplace(G101, ""_"", """")"),"laborantibioticscode1")</f>
        <v>laborantibioticscode1</v>
      </c>
      <c r="L101" s="19" t="s">
        <v>459</v>
      </c>
      <c r="M101" s="19" t="s">
        <v>460</v>
      </c>
    </row>
    <row r="102">
      <c r="A102" s="10"/>
      <c r="B102" s="7" t="s">
        <v>336</v>
      </c>
      <c r="C102" s="7" t="s">
        <v>461</v>
      </c>
      <c r="D102" s="7" t="s">
        <v>456</v>
      </c>
      <c r="E102" s="15" t="s">
        <v>462</v>
      </c>
      <c r="F102" s="9">
        <f t="shared" si="6"/>
        <v>2</v>
      </c>
      <c r="G102" s="7" t="s">
        <v>463</v>
      </c>
      <c r="H102" s="10"/>
      <c r="I102" s="7" t="str">
        <f>IFERROR(__xludf.DUMMYFUNCTION("regexreplace(lower(C102), ""_"", """")"),"laborantibioticscode2")</f>
        <v>laborantibioticscode2</v>
      </c>
      <c r="J102" s="9" t="b">
        <f t="shared" si="2"/>
        <v>1</v>
      </c>
      <c r="K102" s="7" t="str">
        <f>IFERROR(__xludf.DUMMYFUNCTION("regexreplace(G102, ""_"", """")"),"laborantibioticscode2")</f>
        <v>laborantibioticscode2</v>
      </c>
      <c r="L102" s="19" t="s">
        <v>464</v>
      </c>
      <c r="M102" s="19" t="s">
        <v>465</v>
      </c>
    </row>
    <row r="103">
      <c r="A103" s="10"/>
      <c r="B103" s="7" t="s">
        <v>336</v>
      </c>
      <c r="C103" s="7" t="s">
        <v>466</v>
      </c>
      <c r="D103" s="7" t="s">
        <v>456</v>
      </c>
      <c r="E103" s="15" t="s">
        <v>467</v>
      </c>
      <c r="F103" s="9">
        <f t="shared" si="6"/>
        <v>2</v>
      </c>
      <c r="G103" s="7" t="s">
        <v>468</v>
      </c>
      <c r="H103" s="10"/>
      <c r="I103" s="7" t="str">
        <f>IFERROR(__xludf.DUMMYFUNCTION("regexreplace(lower(C103), ""_"", """")"),"laborantibioticscode3")</f>
        <v>laborantibioticscode3</v>
      </c>
      <c r="J103" s="9" t="b">
        <f t="shared" si="2"/>
        <v>1</v>
      </c>
      <c r="K103" s="7" t="str">
        <f>IFERROR(__xludf.DUMMYFUNCTION("regexreplace(G103, ""_"", """")"),"laborantibioticscode3")</f>
        <v>laborantibioticscode3</v>
      </c>
      <c r="L103" s="19" t="s">
        <v>469</v>
      </c>
      <c r="M103" s="19" t="s">
        <v>470</v>
      </c>
    </row>
    <row r="104">
      <c r="A104" s="10"/>
      <c r="B104" s="7" t="s">
        <v>336</v>
      </c>
      <c r="C104" s="7" t="s">
        <v>471</v>
      </c>
      <c r="D104" s="7" t="s">
        <v>456</v>
      </c>
      <c r="E104" s="15" t="s">
        <v>472</v>
      </c>
      <c r="F104" s="9">
        <f t="shared" si="6"/>
        <v>1</v>
      </c>
      <c r="G104" s="7" t="s">
        <v>473</v>
      </c>
      <c r="H104" s="10"/>
      <c r="I104" s="7" t="str">
        <f>IFERROR(__xludf.DUMMYFUNCTION("regexreplace(lower(C104), ""_"", """")"),"laborantibioticscode4")</f>
        <v>laborantibioticscode4</v>
      </c>
      <c r="J104" s="9" t="b">
        <f t="shared" si="2"/>
        <v>1</v>
      </c>
      <c r="K104" s="7" t="str">
        <f>IFERROR(__xludf.DUMMYFUNCTION("regexreplace(G104, ""_"", """")"),"laborantibioticscode4")</f>
        <v>laborantibioticscode4</v>
      </c>
      <c r="L104" s="10"/>
      <c r="M104" s="10" t="s">
        <v>474</v>
      </c>
    </row>
    <row r="105">
      <c r="A105" s="10"/>
      <c r="B105" s="7" t="s">
        <v>336</v>
      </c>
      <c r="C105" s="7" t="s">
        <v>475</v>
      </c>
      <c r="D105" s="7" t="s">
        <v>456</v>
      </c>
      <c r="E105" s="15" t="s">
        <v>476</v>
      </c>
      <c r="F105" s="9">
        <f t="shared" si="6"/>
        <v>1</v>
      </c>
      <c r="G105" s="7" t="s">
        <v>477</v>
      </c>
      <c r="H105" s="10"/>
      <c r="I105" s="7" t="str">
        <f>IFERROR(__xludf.DUMMYFUNCTION("regexreplace(lower(C105), ""_"", """")"),"laborantibioticscode5")</f>
        <v>laborantibioticscode5</v>
      </c>
      <c r="J105" s="9" t="b">
        <f t="shared" si="2"/>
        <v>1</v>
      </c>
      <c r="K105" s="7" t="str">
        <f>IFERROR(__xludf.DUMMYFUNCTION("regexreplace(G105, ""_"", """")"),"laborantibioticscode5")</f>
        <v>laborantibioticscode5</v>
      </c>
      <c r="L105" s="10"/>
      <c r="M105" s="10" t="s">
        <v>478</v>
      </c>
    </row>
    <row r="106">
      <c r="A106" s="10"/>
      <c r="B106" s="7" t="s">
        <v>336</v>
      </c>
      <c r="C106" s="7" t="s">
        <v>479</v>
      </c>
      <c r="D106" s="7" t="s">
        <v>456</v>
      </c>
      <c r="E106" s="15" t="s">
        <v>480</v>
      </c>
      <c r="F106" s="9">
        <f t="shared" si="6"/>
        <v>1</v>
      </c>
      <c r="G106" s="7" t="s">
        <v>481</v>
      </c>
      <c r="H106" s="10"/>
      <c r="I106" s="7" t="str">
        <f>IFERROR(__xludf.DUMMYFUNCTION("regexreplace(lower(C106), ""_"", """")"),"laborantibioticscode6")</f>
        <v>laborantibioticscode6</v>
      </c>
      <c r="J106" s="9" t="b">
        <f t="shared" si="2"/>
        <v>1</v>
      </c>
      <c r="K106" s="7" t="str">
        <f>IFERROR(__xludf.DUMMYFUNCTION("regexreplace(G106, ""_"", """")"),"laborantibioticscode6")</f>
        <v>laborantibioticscode6</v>
      </c>
      <c r="L106" s="10"/>
      <c r="M106" s="10" t="s">
        <v>482</v>
      </c>
    </row>
    <row r="107">
      <c r="A107" s="10"/>
      <c r="B107" s="7" t="s">
        <v>336</v>
      </c>
      <c r="C107" s="7" t="s">
        <v>483</v>
      </c>
      <c r="D107" s="7" t="s">
        <v>43</v>
      </c>
      <c r="E107" s="18" t="s">
        <v>484</v>
      </c>
      <c r="F107" s="9">
        <f t="shared" si="6"/>
        <v>1</v>
      </c>
      <c r="G107" s="7" t="s">
        <v>485</v>
      </c>
      <c r="H107" s="10"/>
      <c r="I107" s="7" t="str">
        <f>IFERROR(__xludf.DUMMYFUNCTION("regexreplace(lower(C107), ""_"", """")"),"emergencycsection")</f>
        <v>emergencycsection</v>
      </c>
      <c r="J107" s="9" t="b">
        <f t="shared" si="2"/>
        <v>1</v>
      </c>
      <c r="K107" s="7" t="str">
        <f>IFERROR(__xludf.DUMMYFUNCTION("regexreplace(G107, ""_"", """")"),"emergencycsection")</f>
        <v>emergencycsection</v>
      </c>
      <c r="L107" s="10"/>
      <c r="M107" s="8" t="s">
        <v>486</v>
      </c>
    </row>
    <row r="108">
      <c r="A108" s="12"/>
      <c r="B108" s="12"/>
      <c r="C108" s="13"/>
      <c r="D108" s="12"/>
      <c r="E108" s="12"/>
      <c r="F108" s="12"/>
      <c r="G108" s="12"/>
      <c r="H108" s="12"/>
      <c r="I108" s="13" t="str">
        <f>IFERROR(__xludf.DUMMYFUNCTION("regexreplace(lower(C108), ""_"", """")"),"")</f>
        <v/>
      </c>
      <c r="J108" s="14" t="str">
        <f t="shared" si="2"/>
        <v/>
      </c>
      <c r="K108" s="13" t="str">
        <f>IFERROR(__xludf.DUMMYFUNCTION("regexreplace(G108, ""_"", """")"),"")</f>
        <v/>
      </c>
      <c r="L108" s="12"/>
      <c r="M108" s="12"/>
    </row>
    <row r="109">
      <c r="A109" s="5" t="s">
        <v>13</v>
      </c>
      <c r="B109" s="7" t="s">
        <v>487</v>
      </c>
      <c r="C109" s="7" t="s">
        <v>488</v>
      </c>
      <c r="D109" s="7" t="s">
        <v>488</v>
      </c>
      <c r="E109" s="10" t="s">
        <v>489</v>
      </c>
      <c r="F109" s="9">
        <f>counta(L109:M109)</f>
        <v>2</v>
      </c>
      <c r="G109" s="7" t="s">
        <v>490</v>
      </c>
      <c r="H109" s="10"/>
      <c r="I109" s="7" t="str">
        <f>IFERROR(__xludf.DUMMYFUNCTION("regexreplace(lower(C109), ""_"", """")"),"encephalopathylevel")</f>
        <v>encephalopathylevel</v>
      </c>
      <c r="J109" s="9" t="b">
        <f t="shared" si="2"/>
        <v>1</v>
      </c>
      <c r="K109" s="7" t="str">
        <f>IFERROR(__xludf.DUMMYFUNCTION("regexreplace(G109, ""_"", """")"),"encephalopathylevel")</f>
        <v>encephalopathylevel</v>
      </c>
      <c r="L109" s="10" t="s">
        <v>491</v>
      </c>
      <c r="M109" s="10" t="s">
        <v>492</v>
      </c>
    </row>
    <row r="110">
      <c r="A110" s="10"/>
      <c r="B110" s="7"/>
      <c r="C110" s="7"/>
      <c r="D110" s="7"/>
      <c r="E110" s="17"/>
      <c r="F110" s="9"/>
      <c r="G110" s="7"/>
      <c r="H110" s="10"/>
      <c r="I110" s="7" t="str">
        <f>IFERROR(__xludf.DUMMYFUNCTION("regexreplace(lower(C110), ""_"", """")"),"")</f>
        <v/>
      </c>
      <c r="J110" s="9" t="str">
        <f t="shared" si="2"/>
        <v/>
      </c>
      <c r="K110" s="7" t="str">
        <f>IFERROR(__xludf.DUMMYFUNCTION("regexreplace(G110, ""_"", """")"),"")</f>
        <v/>
      </c>
      <c r="L110" s="17"/>
      <c r="M110" s="8" t="s">
        <v>493</v>
      </c>
    </row>
    <row r="111">
      <c r="A111" s="10"/>
      <c r="B111" s="7" t="s">
        <v>487</v>
      </c>
      <c r="C111" s="7" t="s">
        <v>494</v>
      </c>
      <c r="D111" s="7" t="s">
        <v>495</v>
      </c>
      <c r="E111" s="17" t="s">
        <v>496</v>
      </c>
      <c r="F111" s="9">
        <f t="shared" ref="F111:F166" si="7">counta(L111:M111)</f>
        <v>1</v>
      </c>
      <c r="G111" s="7" t="s">
        <v>497</v>
      </c>
      <c r="H111" s="10"/>
      <c r="I111" s="7" t="str">
        <f>IFERROR(__xludf.DUMMYFUNCTION("regexreplace(lower(C111), ""_"", """")"),"randominfantage")</f>
        <v>randominfantage</v>
      </c>
      <c r="J111" s="9" t="b">
        <f t="shared" si="2"/>
        <v>1</v>
      </c>
      <c r="K111" s="7" t="str">
        <f>IFERROR(__xludf.DUMMYFUNCTION("regexreplace(G111, ""_"", """")"),"randominfantage")</f>
        <v>randominfantage</v>
      </c>
      <c r="L111" s="17" t="s">
        <v>498</v>
      </c>
      <c r="M111" s="10"/>
    </row>
    <row r="112">
      <c r="A112" s="10"/>
      <c r="B112" s="7" t="s">
        <v>487</v>
      </c>
      <c r="C112" s="7" t="s">
        <v>28</v>
      </c>
      <c r="D112" s="7" t="s">
        <v>29</v>
      </c>
      <c r="E112" s="10" t="s">
        <v>499</v>
      </c>
      <c r="F112" s="9">
        <f t="shared" si="7"/>
        <v>2</v>
      </c>
      <c r="G112" s="7" t="s">
        <v>31</v>
      </c>
      <c r="H112" s="10"/>
      <c r="I112" s="7" t="str">
        <f>IFERROR(__xludf.DUMMYFUNCTION("regexreplace(lower(C112), ""_"", """")"),"birthdate")</f>
        <v>birthdate</v>
      </c>
      <c r="J112" s="9" t="b">
        <f t="shared" si="2"/>
        <v>1</v>
      </c>
      <c r="K112" s="7" t="str">
        <f>IFERROR(__xludf.DUMMYFUNCTION("regexreplace(G112, ""_"", """")"),"birthdate")</f>
        <v>birthdate</v>
      </c>
      <c r="L112" s="19" t="s">
        <v>500</v>
      </c>
      <c r="M112" s="19" t="s">
        <v>501</v>
      </c>
    </row>
    <row r="113">
      <c r="A113" s="10"/>
      <c r="B113" s="7" t="s">
        <v>487</v>
      </c>
      <c r="C113" s="7" t="s">
        <v>502</v>
      </c>
      <c r="D113" s="7" t="s">
        <v>148</v>
      </c>
      <c r="E113" s="10" t="s">
        <v>503</v>
      </c>
      <c r="F113" s="9">
        <f t="shared" si="7"/>
        <v>2</v>
      </c>
      <c r="G113" s="7" t="s">
        <v>504</v>
      </c>
      <c r="H113" s="10"/>
      <c r="I113" s="7" t="str">
        <f>IFERROR(__xludf.DUMMYFUNCTION("regexreplace(lower(C113), ""_"", """")"),"birthtime")</f>
        <v>birthtime</v>
      </c>
      <c r="J113" s="9" t="b">
        <f t="shared" si="2"/>
        <v>1</v>
      </c>
      <c r="K113" s="7" t="str">
        <f>IFERROR(__xludf.DUMMYFUNCTION("regexreplace(G113, ""_"", """")"),"birthtime")</f>
        <v>birthtime</v>
      </c>
      <c r="L113" s="19" t="s">
        <v>505</v>
      </c>
      <c r="M113" s="19" t="s">
        <v>506</v>
      </c>
    </row>
    <row r="114">
      <c r="A114" s="10"/>
      <c r="B114" s="7" t="s">
        <v>487</v>
      </c>
      <c r="C114" s="7" t="s">
        <v>507</v>
      </c>
      <c r="D114" s="7" t="s">
        <v>154</v>
      </c>
      <c r="E114" s="10" t="s">
        <v>508</v>
      </c>
      <c r="F114" s="9">
        <f t="shared" si="7"/>
        <v>2</v>
      </c>
      <c r="G114" s="7" t="s">
        <v>509</v>
      </c>
      <c r="H114" s="10"/>
      <c r="I114" s="7" t="str">
        <f>IFERROR(__xludf.DUMMYFUNCTION("regexreplace(lower(C114), ""_"", """")"),"birthweightg")</f>
        <v>birthweightg</v>
      </c>
      <c r="J114" s="9" t="b">
        <f t="shared" si="2"/>
        <v>1</v>
      </c>
      <c r="K114" s="7" t="str">
        <f>IFERROR(__xludf.DUMMYFUNCTION("regexreplace(G114, ""_"", """")"),"birthweightg")</f>
        <v>birthweightg</v>
      </c>
      <c r="L114" s="19" t="s">
        <v>510</v>
      </c>
      <c r="M114" s="19" t="s">
        <v>511</v>
      </c>
    </row>
    <row r="115">
      <c r="A115" s="10"/>
      <c r="B115" s="7" t="s">
        <v>487</v>
      </c>
      <c r="C115" s="7" t="s">
        <v>512</v>
      </c>
      <c r="D115" s="7" t="s">
        <v>154</v>
      </c>
      <c r="E115" s="10" t="s">
        <v>513</v>
      </c>
      <c r="F115" s="9">
        <f t="shared" si="7"/>
        <v>2</v>
      </c>
      <c r="G115" s="7" t="s">
        <v>514</v>
      </c>
      <c r="H115" s="10"/>
      <c r="I115" s="7" t="str">
        <f>IFERROR(__xludf.DUMMYFUNCTION("regexreplace(lower(C115), ""_"", """")"),"birthlengthcm")</f>
        <v>birthlengthcm</v>
      </c>
      <c r="J115" s="9" t="b">
        <f t="shared" si="2"/>
        <v>1</v>
      </c>
      <c r="K115" s="7" t="str">
        <f>IFERROR(__xludf.DUMMYFUNCTION("regexreplace(G115, ""_"", """")"),"birthlengthcm")</f>
        <v>birthlengthcm</v>
      </c>
      <c r="L115" s="19" t="s">
        <v>515</v>
      </c>
      <c r="M115" s="19" t="s">
        <v>516</v>
      </c>
    </row>
    <row r="116">
      <c r="A116" s="10"/>
      <c r="B116" s="7" t="s">
        <v>487</v>
      </c>
      <c r="C116" s="7" t="s">
        <v>517</v>
      </c>
      <c r="D116" s="7" t="s">
        <v>154</v>
      </c>
      <c r="E116" s="10" t="s">
        <v>518</v>
      </c>
      <c r="F116" s="9">
        <f t="shared" si="7"/>
        <v>2</v>
      </c>
      <c r="G116" s="7" t="s">
        <v>519</v>
      </c>
      <c r="H116" s="10"/>
      <c r="I116" s="7" t="str">
        <f>IFERROR(__xludf.DUMMYFUNCTION("regexreplace(lower(C116), ""_"", """")"),"birthheadcircumferencecm")</f>
        <v>birthheadcircumferencecm</v>
      </c>
      <c r="J116" s="9" t="b">
        <f t="shared" si="2"/>
        <v>1</v>
      </c>
      <c r="K116" s="7" t="str">
        <f>IFERROR(__xludf.DUMMYFUNCTION("regexreplace(G116, ""_"", """")"),"birthheadcircumferencecm")</f>
        <v>birthheadcircumferencecm</v>
      </c>
      <c r="L116" s="19" t="s">
        <v>520</v>
      </c>
      <c r="M116" s="19" t="s">
        <v>521</v>
      </c>
    </row>
    <row r="117">
      <c r="A117" s="10"/>
      <c r="B117" s="7" t="s">
        <v>487</v>
      </c>
      <c r="C117" s="7" t="s">
        <v>522</v>
      </c>
      <c r="D117" s="7" t="s">
        <v>34</v>
      </c>
      <c r="E117" s="10" t="s">
        <v>523</v>
      </c>
      <c r="F117" s="9">
        <f t="shared" si="7"/>
        <v>2</v>
      </c>
      <c r="G117" s="7" t="s">
        <v>524</v>
      </c>
      <c r="H117" s="10"/>
      <c r="I117" s="7" t="str">
        <f>IFERROR(__xludf.DUMMYFUNCTION("regexreplace(lower(C117), ""_"", """")"),"birthgestationalageweek")</f>
        <v>birthgestationalageweek</v>
      </c>
      <c r="J117" s="9" t="b">
        <f t="shared" si="2"/>
        <v>1</v>
      </c>
      <c r="K117" s="7" t="str">
        <f>IFERROR(__xludf.DUMMYFUNCTION("regexreplace(G117, ""_"", """")"),"birthgestationalageweek")</f>
        <v>birthgestationalageweek</v>
      </c>
      <c r="L117" s="10" t="s">
        <v>525</v>
      </c>
      <c r="M117" s="10" t="s">
        <v>526</v>
      </c>
    </row>
    <row r="118">
      <c r="A118" s="10"/>
      <c r="B118" s="7" t="s">
        <v>487</v>
      </c>
      <c r="C118" s="7" t="s">
        <v>527</v>
      </c>
      <c r="D118" s="7" t="s">
        <v>527</v>
      </c>
      <c r="E118" s="10" t="s">
        <v>528</v>
      </c>
      <c r="F118" s="9">
        <f t="shared" si="7"/>
        <v>2</v>
      </c>
      <c r="G118" s="7" t="s">
        <v>529</v>
      </c>
      <c r="H118" s="10"/>
      <c r="I118" s="7" t="str">
        <f>IFERROR(__xludf.DUMMYFUNCTION("regexreplace(lower(C118), ""_"", """")"),"infantsex")</f>
        <v>infantsex</v>
      </c>
      <c r="J118" s="9" t="b">
        <f t="shared" si="2"/>
        <v>1</v>
      </c>
      <c r="K118" s="7" t="str">
        <f>IFERROR(__xludf.DUMMYFUNCTION("regexreplace(G118, ""_"", """")"),"infantsex")</f>
        <v>infantsex</v>
      </c>
      <c r="L118" s="10" t="s">
        <v>530</v>
      </c>
      <c r="M118" s="10" t="s">
        <v>531</v>
      </c>
    </row>
    <row r="119">
      <c r="A119" s="10"/>
      <c r="B119" s="7" t="s">
        <v>487</v>
      </c>
      <c r="C119" s="7" t="s">
        <v>532</v>
      </c>
      <c r="D119" s="7" t="s">
        <v>43</v>
      </c>
      <c r="E119" s="18" t="s">
        <v>533</v>
      </c>
      <c r="F119" s="9">
        <f t="shared" si="7"/>
        <v>1</v>
      </c>
      <c r="G119" s="7" t="s">
        <v>534</v>
      </c>
      <c r="H119" s="10"/>
      <c r="I119" s="7" t="str">
        <f>IFERROR(__xludf.DUMMYFUNCTION("regexreplace(lower(C119), ""_"", """")"),"malesex")</f>
        <v>malesex</v>
      </c>
      <c r="J119" s="9" t="b">
        <f t="shared" si="2"/>
        <v>1</v>
      </c>
      <c r="K119" s="7" t="str">
        <f>IFERROR(__xludf.DUMMYFUNCTION("regexreplace(G119, ""_"", """")"),"malesex")</f>
        <v>malesex</v>
      </c>
      <c r="L119" s="10"/>
      <c r="M119" s="8" t="s">
        <v>535</v>
      </c>
    </row>
    <row r="120">
      <c r="A120" s="10"/>
      <c r="B120" s="7" t="s">
        <v>487</v>
      </c>
      <c r="C120" s="7" t="s">
        <v>536</v>
      </c>
      <c r="D120" s="7" t="s">
        <v>43</v>
      </c>
      <c r="E120" s="10" t="s">
        <v>537</v>
      </c>
      <c r="F120" s="9">
        <f t="shared" si="7"/>
        <v>2</v>
      </c>
      <c r="G120" s="7" t="s">
        <v>538</v>
      </c>
      <c r="H120" s="7"/>
      <c r="I120" s="7" t="str">
        <f>IFERROR(__xludf.DUMMYFUNCTION("regexreplace(lower(C120), ""_"", """")"),"infantoutborn")</f>
        <v>infantoutborn</v>
      </c>
      <c r="J120" s="9" t="b">
        <f t="shared" si="2"/>
        <v>1</v>
      </c>
      <c r="K120" s="7" t="str">
        <f>IFERROR(__xludf.DUMMYFUNCTION("regexreplace(G120, ""_"", """")"),"infantoutborn")</f>
        <v>infantoutborn</v>
      </c>
      <c r="L120" s="10" t="s">
        <v>539</v>
      </c>
      <c r="M120" s="10" t="s">
        <v>540</v>
      </c>
    </row>
    <row r="121">
      <c r="A121" s="10"/>
      <c r="B121" s="7" t="s">
        <v>487</v>
      </c>
      <c r="C121" s="7" t="s">
        <v>541</v>
      </c>
      <c r="D121" s="7" t="s">
        <v>43</v>
      </c>
      <c r="E121" s="10" t="s">
        <v>542</v>
      </c>
      <c r="F121" s="9">
        <f t="shared" si="7"/>
        <v>2</v>
      </c>
      <c r="G121" s="7" t="s">
        <v>543</v>
      </c>
      <c r="H121" s="7"/>
      <c r="I121" s="7" t="str">
        <f>IFERROR(__xludf.DUMMYFUNCTION("regexreplace(lower(C121), ""_"", """")"),"outborninhospital")</f>
        <v>outborninhospital</v>
      </c>
      <c r="J121" s="9" t="b">
        <f t="shared" si="2"/>
        <v>1</v>
      </c>
      <c r="K121" s="7" t="str">
        <f>IFERROR(__xludf.DUMMYFUNCTION("regexreplace(G121, ""_"", """")"),"outborninhospital")</f>
        <v>outborninhospital</v>
      </c>
      <c r="L121" s="10" t="s">
        <v>544</v>
      </c>
      <c r="M121" s="10" t="s">
        <v>545</v>
      </c>
    </row>
    <row r="122">
      <c r="A122" s="10"/>
      <c r="B122" s="7" t="s">
        <v>487</v>
      </c>
      <c r="C122" s="7" t="s">
        <v>546</v>
      </c>
      <c r="D122" s="7" t="s">
        <v>43</v>
      </c>
      <c r="E122" s="10" t="s">
        <v>547</v>
      </c>
      <c r="F122" s="9">
        <f t="shared" si="7"/>
        <v>2</v>
      </c>
      <c r="G122" s="7" t="s">
        <v>548</v>
      </c>
      <c r="H122" s="7"/>
      <c r="I122" s="7" t="str">
        <f>IFERROR(__xludf.DUMMYFUNCTION("regexreplace(lower(C122), ""_"", """")"),"outbornouthospital")</f>
        <v>outbornouthospital</v>
      </c>
      <c r="J122" s="9" t="b">
        <f t="shared" si="2"/>
        <v>1</v>
      </c>
      <c r="K122" s="7" t="str">
        <f>IFERROR(__xludf.DUMMYFUNCTION("regexreplace(G122, ""_"", """")"),"outbornouthospital")</f>
        <v>outbornouthospital</v>
      </c>
      <c r="L122" s="10" t="s">
        <v>549</v>
      </c>
      <c r="M122" s="10" t="s">
        <v>550</v>
      </c>
    </row>
    <row r="123">
      <c r="A123" s="10"/>
      <c r="B123" s="7" t="s">
        <v>487</v>
      </c>
      <c r="C123" s="7" t="s">
        <v>551</v>
      </c>
      <c r="D123" s="7" t="s">
        <v>29</v>
      </c>
      <c r="E123" s="15" t="s">
        <v>552</v>
      </c>
      <c r="F123" s="9">
        <f t="shared" si="7"/>
        <v>2</v>
      </c>
      <c r="G123" s="7" t="s">
        <v>553</v>
      </c>
      <c r="H123" s="10"/>
      <c r="I123" s="7" t="str">
        <f>IFERROR(__xludf.DUMMYFUNCTION("regexreplace(lower(C123), ""_"", """")"),"neonateadmissiondate")</f>
        <v>neonateadmissiondate</v>
      </c>
      <c r="J123" s="9" t="b">
        <f t="shared" si="2"/>
        <v>1</v>
      </c>
      <c r="K123" s="7" t="str">
        <f>IFERROR(__xludf.DUMMYFUNCTION("regexreplace(G123, ""_"", """")"),"neonateadmissiondate")</f>
        <v>neonateadmissiondate</v>
      </c>
      <c r="L123" s="10" t="s">
        <v>554</v>
      </c>
      <c r="M123" s="10" t="s">
        <v>555</v>
      </c>
    </row>
    <row r="124">
      <c r="A124" s="10"/>
      <c r="B124" s="7" t="s">
        <v>487</v>
      </c>
      <c r="C124" s="7" t="s">
        <v>556</v>
      </c>
      <c r="D124" s="7" t="s">
        <v>148</v>
      </c>
      <c r="E124" s="15" t="s">
        <v>557</v>
      </c>
      <c r="F124" s="9">
        <f t="shared" si="7"/>
        <v>2</v>
      </c>
      <c r="G124" s="7" t="s">
        <v>558</v>
      </c>
      <c r="H124" s="10"/>
      <c r="I124" s="7" t="str">
        <f>IFERROR(__xludf.DUMMYFUNCTION("regexreplace(lower(C124), ""_"", """")"),"neonateadmissiontime")</f>
        <v>neonateadmissiontime</v>
      </c>
      <c r="J124" s="9" t="b">
        <f t="shared" si="2"/>
        <v>1</v>
      </c>
      <c r="K124" s="7" t="str">
        <f>IFERROR(__xludf.DUMMYFUNCTION("regexreplace(G124, ""_"", """")"),"neonateadmissiontime")</f>
        <v>neonateadmissiontime</v>
      </c>
      <c r="L124" s="10" t="s">
        <v>559</v>
      </c>
      <c r="M124" s="10" t="s">
        <v>560</v>
      </c>
    </row>
    <row r="125">
      <c r="A125" s="10"/>
      <c r="B125" s="7" t="s">
        <v>487</v>
      </c>
      <c r="C125" s="7" t="s">
        <v>561</v>
      </c>
      <c r="D125" s="7" t="s">
        <v>34</v>
      </c>
      <c r="E125" s="10" t="s">
        <v>562</v>
      </c>
      <c r="F125" s="9">
        <f t="shared" si="7"/>
        <v>2</v>
      </c>
      <c r="G125" s="7" t="s">
        <v>563</v>
      </c>
      <c r="H125" s="10"/>
      <c r="I125" s="7" t="str">
        <f>IFERROR(__xludf.DUMMYFUNCTION("regexreplace(lower(C125), ""_"", """")"),"apgar1min")</f>
        <v>apgar1min</v>
      </c>
      <c r="J125" s="9" t="b">
        <f t="shared" si="2"/>
        <v>1</v>
      </c>
      <c r="K125" s="7" t="str">
        <f>IFERROR(__xludf.DUMMYFUNCTION("regexreplace(G125, ""_"", """")"),"apgar1min")</f>
        <v>apgar1min</v>
      </c>
      <c r="L125" s="10" t="s">
        <v>564</v>
      </c>
      <c r="M125" s="10" t="s">
        <v>565</v>
      </c>
    </row>
    <row r="126">
      <c r="A126" s="10"/>
      <c r="B126" s="7" t="s">
        <v>487</v>
      </c>
      <c r="C126" s="7" t="s">
        <v>566</v>
      </c>
      <c r="D126" s="7" t="s">
        <v>34</v>
      </c>
      <c r="E126" s="10" t="s">
        <v>567</v>
      </c>
      <c r="F126" s="9">
        <f t="shared" si="7"/>
        <v>2</v>
      </c>
      <c r="G126" s="7" t="s">
        <v>568</v>
      </c>
      <c r="H126" s="10"/>
      <c r="I126" s="7" t="str">
        <f>IFERROR(__xludf.DUMMYFUNCTION("regexreplace(lower(C126), ""_"", """")"),"apgar5min")</f>
        <v>apgar5min</v>
      </c>
      <c r="J126" s="9" t="b">
        <f t="shared" si="2"/>
        <v>1</v>
      </c>
      <c r="K126" s="7" t="str">
        <f>IFERROR(__xludf.DUMMYFUNCTION("regexreplace(G126, ""_"", """")"),"apgar5min")</f>
        <v>apgar5min</v>
      </c>
      <c r="L126" s="10" t="s">
        <v>569</v>
      </c>
      <c r="M126" s="10" t="s">
        <v>570</v>
      </c>
    </row>
    <row r="127">
      <c r="A127" s="10"/>
      <c r="B127" s="7" t="s">
        <v>487</v>
      </c>
      <c r="C127" s="7" t="s">
        <v>571</v>
      </c>
      <c r="D127" s="7" t="s">
        <v>34</v>
      </c>
      <c r="E127" s="10" t="s">
        <v>572</v>
      </c>
      <c r="F127" s="9">
        <f t="shared" si="7"/>
        <v>2</v>
      </c>
      <c r="G127" s="7" t="s">
        <v>573</v>
      </c>
      <c r="H127" s="10"/>
      <c r="I127" s="7" t="str">
        <f>IFERROR(__xludf.DUMMYFUNCTION("regexreplace(lower(C127), ""_"", """")"),"apgar10min")</f>
        <v>apgar10min</v>
      </c>
      <c r="J127" s="9" t="b">
        <f t="shared" si="2"/>
        <v>1</v>
      </c>
      <c r="K127" s="7" t="str">
        <f>IFERROR(__xludf.DUMMYFUNCTION("regexreplace(G127, ""_"", """")"),"apgar10min")</f>
        <v>apgar10min</v>
      </c>
      <c r="L127" s="10" t="s">
        <v>574</v>
      </c>
      <c r="M127" s="10" t="s">
        <v>575</v>
      </c>
    </row>
    <row r="128">
      <c r="A128" s="10"/>
      <c r="B128" s="7" t="s">
        <v>487</v>
      </c>
      <c r="C128" s="7" t="s">
        <v>576</v>
      </c>
      <c r="D128" s="7" t="s">
        <v>34</v>
      </c>
      <c r="E128" s="10" t="s">
        <v>577</v>
      </c>
      <c r="F128" s="9">
        <f t="shared" si="7"/>
        <v>1</v>
      </c>
      <c r="G128" s="7" t="s">
        <v>578</v>
      </c>
      <c r="H128" s="10"/>
      <c r="I128" s="7" t="str">
        <f>IFERROR(__xludf.DUMMYFUNCTION("regexreplace(lower(C128), ""_"", """")"),"apgar15min")</f>
        <v>apgar15min</v>
      </c>
      <c r="J128" s="9" t="b">
        <f t="shared" si="2"/>
        <v>1</v>
      </c>
      <c r="K128" s="7" t="str">
        <f>IFERROR(__xludf.DUMMYFUNCTION("regexreplace(G128, ""_"", """")"),"apgar15min")</f>
        <v>apgar15min</v>
      </c>
      <c r="L128" s="10"/>
      <c r="M128" s="10" t="s">
        <v>579</v>
      </c>
    </row>
    <row r="129">
      <c r="A129" s="10"/>
      <c r="B129" s="7" t="s">
        <v>487</v>
      </c>
      <c r="C129" s="7" t="s">
        <v>580</v>
      </c>
      <c r="D129" s="7" t="s">
        <v>34</v>
      </c>
      <c r="E129" s="10" t="s">
        <v>581</v>
      </c>
      <c r="F129" s="9">
        <f t="shared" si="7"/>
        <v>2</v>
      </c>
      <c r="G129" s="7" t="s">
        <v>582</v>
      </c>
      <c r="H129" s="10"/>
      <c r="I129" s="7" t="str">
        <f>IFERROR(__xludf.DUMMYFUNCTION("regexreplace(lower(C129), ""_"", """")"),"apgar20min")</f>
        <v>apgar20min</v>
      </c>
      <c r="J129" s="9" t="b">
        <f t="shared" si="2"/>
        <v>1</v>
      </c>
      <c r="K129" s="7" t="str">
        <f>IFERROR(__xludf.DUMMYFUNCTION("regexreplace(G129, ""_"", """")"),"apgar20min")</f>
        <v>apgar20min</v>
      </c>
      <c r="L129" s="10" t="s">
        <v>583</v>
      </c>
      <c r="M129" s="10" t="s">
        <v>584</v>
      </c>
    </row>
    <row r="130">
      <c r="A130" s="10"/>
      <c r="B130" s="7" t="s">
        <v>487</v>
      </c>
      <c r="C130" s="7" t="s">
        <v>585</v>
      </c>
      <c r="D130" s="7" t="s">
        <v>43</v>
      </c>
      <c r="E130" s="17" t="s">
        <v>586</v>
      </c>
      <c r="F130" s="9">
        <f t="shared" si="7"/>
        <v>1</v>
      </c>
      <c r="G130" s="7" t="s">
        <v>587</v>
      </c>
      <c r="H130" s="10"/>
      <c r="I130" s="7" t="str">
        <f>IFERROR(__xludf.DUMMYFUNCTION("regexreplace(lower(C130), ""_"", """")"),"deliveryresuscitation")</f>
        <v>deliveryresuscitation</v>
      </c>
      <c r="J130" s="9" t="b">
        <f t="shared" si="2"/>
        <v>1</v>
      </c>
      <c r="K130" s="7" t="str">
        <f>IFERROR(__xludf.DUMMYFUNCTION("regexreplace(G130, ""_"", """")"),"deliveryresuscitation")</f>
        <v>deliveryresuscitation</v>
      </c>
      <c r="L130" s="17" t="s">
        <v>588</v>
      </c>
      <c r="M130" s="10"/>
    </row>
    <row r="131">
      <c r="A131" s="10"/>
      <c r="B131" s="7" t="s">
        <v>487</v>
      </c>
      <c r="C131" s="7" t="s">
        <v>589</v>
      </c>
      <c r="D131" s="7" t="s">
        <v>43</v>
      </c>
      <c r="E131" s="10" t="s">
        <v>590</v>
      </c>
      <c r="F131" s="9">
        <f t="shared" si="7"/>
        <v>2</v>
      </c>
      <c r="G131" s="7" t="s">
        <v>591</v>
      </c>
      <c r="H131" s="10"/>
      <c r="I131" s="7" t="str">
        <f>IFERROR(__xludf.DUMMYFUNCTION("regexreplace(lower(C131), ""_"", """")"),"deliveryoxygen")</f>
        <v>deliveryoxygen</v>
      </c>
      <c r="J131" s="9" t="b">
        <f t="shared" si="2"/>
        <v>1</v>
      </c>
      <c r="K131" s="7" t="str">
        <f>IFERROR(__xludf.DUMMYFUNCTION("regexreplace(G131, ""_"", """")"),"deliveryoxygen")</f>
        <v>deliveryoxygen</v>
      </c>
      <c r="L131" s="10" t="s">
        <v>592</v>
      </c>
      <c r="M131" s="10" t="s">
        <v>593</v>
      </c>
    </row>
    <row r="132">
      <c r="A132" s="10"/>
      <c r="B132" s="7" t="s">
        <v>487</v>
      </c>
      <c r="C132" s="7" t="s">
        <v>594</v>
      </c>
      <c r="D132" s="7" t="s">
        <v>43</v>
      </c>
      <c r="E132" s="10" t="s">
        <v>595</v>
      </c>
      <c r="F132" s="9">
        <f t="shared" si="7"/>
        <v>2</v>
      </c>
      <c r="G132" s="7" t="s">
        <v>596</v>
      </c>
      <c r="H132" s="10"/>
      <c r="I132" s="7" t="str">
        <f>IFERROR(__xludf.DUMMYFUNCTION("regexreplace(lower(C132), ""_"", """")"),"deliverybaggingandmask")</f>
        <v>deliverybaggingandmask</v>
      </c>
      <c r="J132" s="9" t="b">
        <f t="shared" si="2"/>
        <v>1</v>
      </c>
      <c r="K132" s="7" t="str">
        <f>IFERROR(__xludf.DUMMYFUNCTION("regexreplace(G132, ""_"", """")"),"deliverybaggingandmask")</f>
        <v>deliverybaggingandmask</v>
      </c>
      <c r="L132" s="10" t="s">
        <v>597</v>
      </c>
      <c r="M132" s="10" t="s">
        <v>598</v>
      </c>
    </row>
    <row r="133">
      <c r="A133" s="10"/>
      <c r="B133" s="7" t="s">
        <v>487</v>
      </c>
      <c r="C133" s="7" t="s">
        <v>599</v>
      </c>
      <c r="D133" s="7" t="s">
        <v>43</v>
      </c>
      <c r="E133" s="10" t="s">
        <v>600</v>
      </c>
      <c r="F133" s="9">
        <f t="shared" si="7"/>
        <v>2</v>
      </c>
      <c r="G133" s="7" t="s">
        <v>601</v>
      </c>
      <c r="H133" s="10"/>
      <c r="I133" s="7" t="str">
        <f>IFERROR(__xludf.DUMMYFUNCTION("regexreplace(lower(C133), ""_"", """")"),"deliverychestcompression")</f>
        <v>deliverychestcompression</v>
      </c>
      <c r="J133" s="9" t="b">
        <f t="shared" si="2"/>
        <v>1</v>
      </c>
      <c r="K133" s="7" t="str">
        <f>IFERROR(__xludf.DUMMYFUNCTION("regexreplace(G133, ""_"", """")"),"deliverychestcompression")</f>
        <v>deliverychestcompression</v>
      </c>
      <c r="L133" s="10" t="s">
        <v>602</v>
      </c>
      <c r="M133" s="10" t="s">
        <v>603</v>
      </c>
    </row>
    <row r="134">
      <c r="A134" s="10"/>
      <c r="B134" s="7" t="s">
        <v>487</v>
      </c>
      <c r="C134" s="7" t="s">
        <v>604</v>
      </c>
      <c r="D134" s="7" t="s">
        <v>43</v>
      </c>
      <c r="E134" s="10" t="s">
        <v>605</v>
      </c>
      <c r="F134" s="9">
        <f t="shared" si="7"/>
        <v>2</v>
      </c>
      <c r="G134" s="7" t="s">
        <v>606</v>
      </c>
      <c r="H134" s="10"/>
      <c r="I134" s="7" t="str">
        <f>IFERROR(__xludf.DUMMYFUNCTION("regexreplace(lower(C134), ""_"", """")"),"deliveryintubation")</f>
        <v>deliveryintubation</v>
      </c>
      <c r="J134" s="9" t="b">
        <f t="shared" si="2"/>
        <v>1</v>
      </c>
      <c r="K134" s="7" t="str">
        <f>IFERROR(__xludf.DUMMYFUNCTION("regexreplace(G134, ""_"", """")"),"deliveryintubation")</f>
        <v>deliveryintubation</v>
      </c>
      <c r="L134" s="10" t="s">
        <v>607</v>
      </c>
      <c r="M134" s="10" t="s">
        <v>608</v>
      </c>
    </row>
    <row r="135">
      <c r="A135" s="10"/>
      <c r="B135" s="7" t="s">
        <v>487</v>
      </c>
      <c r="C135" s="7" t="s">
        <v>609</v>
      </c>
      <c r="D135" s="7" t="s">
        <v>43</v>
      </c>
      <c r="E135" s="10" t="s">
        <v>610</v>
      </c>
      <c r="F135" s="9">
        <f t="shared" si="7"/>
        <v>2</v>
      </c>
      <c r="G135" s="7" t="s">
        <v>611</v>
      </c>
      <c r="H135" s="10"/>
      <c r="I135" s="7" t="str">
        <f>IFERROR(__xludf.DUMMYFUNCTION("regexreplace(lower(C135), ""_"", """")"),"deliverydrug")</f>
        <v>deliverydrug</v>
      </c>
      <c r="J135" s="9" t="b">
        <f t="shared" si="2"/>
        <v>1</v>
      </c>
      <c r="K135" s="7" t="str">
        <f>IFERROR(__xludf.DUMMYFUNCTION("regexreplace(G135, ""_"", """")"),"deliverydrug")</f>
        <v>deliverydrug</v>
      </c>
      <c r="L135" s="10" t="s">
        <v>612</v>
      </c>
      <c r="M135" s="10" t="s">
        <v>613</v>
      </c>
    </row>
    <row r="136">
      <c r="A136" s="10"/>
      <c r="B136" s="7" t="s">
        <v>487</v>
      </c>
      <c r="C136" s="7" t="s">
        <v>614</v>
      </c>
      <c r="D136" s="7" t="s">
        <v>43</v>
      </c>
      <c r="E136" s="10" t="s">
        <v>615</v>
      </c>
      <c r="F136" s="9">
        <f t="shared" si="7"/>
        <v>2</v>
      </c>
      <c r="G136" s="7" t="s">
        <v>616</v>
      </c>
      <c r="H136" s="10"/>
      <c r="I136" s="7" t="str">
        <f>IFERROR(__xludf.DUMMYFUNCTION("regexreplace(lower(C136), ""_"", """")"),"at10mincontinueresuscitation")</f>
        <v>at10mincontinueresuscitation</v>
      </c>
      <c r="J136" s="9" t="b">
        <f t="shared" si="2"/>
        <v>1</v>
      </c>
      <c r="K136" s="7" t="str">
        <f>IFERROR(__xludf.DUMMYFUNCTION("regexreplace(G136, ""_"", """")"),"at10mincontinueresuscitation")</f>
        <v>at10mincontinueresuscitation</v>
      </c>
      <c r="L136" s="10" t="s">
        <v>617</v>
      </c>
      <c r="M136" s="10" t="s">
        <v>618</v>
      </c>
    </row>
    <row r="137">
      <c r="A137" s="10"/>
      <c r="B137" s="7" t="s">
        <v>487</v>
      </c>
      <c r="C137" s="7" t="s">
        <v>619</v>
      </c>
      <c r="D137" s="7" t="s">
        <v>43</v>
      </c>
      <c r="E137" s="10" t="s">
        <v>620</v>
      </c>
      <c r="F137" s="9">
        <f t="shared" si="7"/>
        <v>2</v>
      </c>
      <c r="G137" s="7" t="s">
        <v>621</v>
      </c>
      <c r="H137" s="10"/>
      <c r="I137" s="7" t="str">
        <f>IFERROR(__xludf.DUMMYFUNCTION("regexreplace(lower(C137), ""_"", """")"),"at10minoxygen")</f>
        <v>at10minoxygen</v>
      </c>
      <c r="J137" s="9" t="b">
        <f t="shared" si="2"/>
        <v>1</v>
      </c>
      <c r="K137" s="7" t="str">
        <f>IFERROR(__xludf.DUMMYFUNCTION("regexreplace(G137, ""_"", """")"),"at10minoxygen")</f>
        <v>at10minoxygen</v>
      </c>
      <c r="L137" s="10" t="s">
        <v>622</v>
      </c>
      <c r="M137" s="10" t="s">
        <v>623</v>
      </c>
    </row>
    <row r="138">
      <c r="A138" s="10"/>
      <c r="B138" s="7" t="s">
        <v>487</v>
      </c>
      <c r="C138" s="7" t="s">
        <v>624</v>
      </c>
      <c r="D138" s="7" t="s">
        <v>43</v>
      </c>
      <c r="E138" s="10" t="s">
        <v>625</v>
      </c>
      <c r="F138" s="9">
        <f t="shared" si="7"/>
        <v>2</v>
      </c>
      <c r="G138" s="7" t="s">
        <v>626</v>
      </c>
      <c r="H138" s="10"/>
      <c r="I138" s="7" t="str">
        <f>IFERROR(__xludf.DUMMYFUNCTION("regexreplace(lower(C138), ""_"", """")"),"at10minbaggingandmask")</f>
        <v>at10minbaggingandmask</v>
      </c>
      <c r="J138" s="9" t="b">
        <f t="shared" si="2"/>
        <v>1</v>
      </c>
      <c r="K138" s="7" t="str">
        <f>IFERROR(__xludf.DUMMYFUNCTION("regexreplace(G138, ""_"", """")"),"at10minbaggingandmask")</f>
        <v>at10minbaggingandmask</v>
      </c>
      <c r="L138" s="10" t="s">
        <v>627</v>
      </c>
      <c r="M138" s="10" t="s">
        <v>628</v>
      </c>
    </row>
    <row r="139">
      <c r="A139" s="10"/>
      <c r="B139" s="7" t="s">
        <v>487</v>
      </c>
      <c r="C139" s="7" t="s">
        <v>629</v>
      </c>
      <c r="D139" s="7" t="s">
        <v>43</v>
      </c>
      <c r="E139" s="10" t="s">
        <v>630</v>
      </c>
      <c r="F139" s="9">
        <f t="shared" si="7"/>
        <v>2</v>
      </c>
      <c r="G139" s="7" t="s">
        <v>631</v>
      </c>
      <c r="H139" s="10"/>
      <c r="I139" s="7" t="str">
        <f>IFERROR(__xludf.DUMMYFUNCTION("regexreplace(lower(C139), ""_"", """")"),"at10minchestcompression")</f>
        <v>at10minchestcompression</v>
      </c>
      <c r="J139" s="9" t="b">
        <f t="shared" si="2"/>
        <v>1</v>
      </c>
      <c r="K139" s="7" t="str">
        <f>IFERROR(__xludf.DUMMYFUNCTION("regexreplace(G139, ""_"", """")"),"at10minchestcompression")</f>
        <v>at10minchestcompression</v>
      </c>
      <c r="L139" s="10" t="s">
        <v>632</v>
      </c>
      <c r="M139" s="10" t="s">
        <v>633</v>
      </c>
    </row>
    <row r="140">
      <c r="A140" s="10"/>
      <c r="B140" s="7" t="s">
        <v>487</v>
      </c>
      <c r="C140" s="7" t="s">
        <v>634</v>
      </c>
      <c r="D140" s="7" t="s">
        <v>43</v>
      </c>
      <c r="E140" s="10" t="s">
        <v>635</v>
      </c>
      <c r="F140" s="9">
        <f t="shared" si="7"/>
        <v>2</v>
      </c>
      <c r="G140" s="7" t="s">
        <v>636</v>
      </c>
      <c r="H140" s="10"/>
      <c r="I140" s="7" t="str">
        <f>IFERROR(__xludf.DUMMYFUNCTION("regexreplace(lower(C140), ""_"", """")"),"at10minintubation")</f>
        <v>at10minintubation</v>
      </c>
      <c r="J140" s="9" t="b">
        <f t="shared" si="2"/>
        <v>1</v>
      </c>
      <c r="K140" s="7" t="str">
        <f>IFERROR(__xludf.DUMMYFUNCTION("regexreplace(G140, ""_"", """")"),"at10minintubation")</f>
        <v>at10minintubation</v>
      </c>
      <c r="L140" s="10" t="s">
        <v>637</v>
      </c>
      <c r="M140" s="10" t="s">
        <v>638</v>
      </c>
    </row>
    <row r="141">
      <c r="A141" s="10"/>
      <c r="B141" s="7" t="s">
        <v>487</v>
      </c>
      <c r="C141" s="7" t="s">
        <v>639</v>
      </c>
      <c r="D141" s="7" t="s">
        <v>43</v>
      </c>
      <c r="E141" s="10" t="s">
        <v>640</v>
      </c>
      <c r="F141" s="9">
        <f t="shared" si="7"/>
        <v>2</v>
      </c>
      <c r="G141" s="7" t="s">
        <v>641</v>
      </c>
      <c r="H141" s="10"/>
      <c r="I141" s="7" t="str">
        <f>IFERROR(__xludf.DUMMYFUNCTION("regexreplace(lower(C141), ""_"", """")"),"at10mindrug")</f>
        <v>at10mindrug</v>
      </c>
      <c r="J141" s="9" t="b">
        <f t="shared" si="2"/>
        <v>1</v>
      </c>
      <c r="K141" s="7" t="str">
        <f>IFERROR(__xludf.DUMMYFUNCTION("regexreplace(G141, ""_"", """")"),"at10mindrug")</f>
        <v>at10mindrug</v>
      </c>
      <c r="L141" s="10" t="s">
        <v>642</v>
      </c>
      <c r="M141" s="10" t="s">
        <v>643</v>
      </c>
    </row>
    <row r="142">
      <c r="A142" s="10"/>
      <c r="B142" s="7" t="s">
        <v>487</v>
      </c>
      <c r="C142" s="7" t="s">
        <v>644</v>
      </c>
      <c r="D142" s="7" t="s">
        <v>644</v>
      </c>
      <c r="E142" s="10" t="s">
        <v>645</v>
      </c>
      <c r="F142" s="9">
        <f t="shared" si="7"/>
        <v>2</v>
      </c>
      <c r="G142" s="7" t="s">
        <v>646</v>
      </c>
      <c r="H142" s="10"/>
      <c r="I142" s="7" t="str">
        <f>IFERROR(__xludf.DUMMYFUNCTION("regexreplace(lower(C142), ""_"", """")"),"spontaneousrespirationtime")</f>
        <v>spontaneousrespirationtime</v>
      </c>
      <c r="J142" s="9" t="b">
        <f t="shared" si="2"/>
        <v>1</v>
      </c>
      <c r="K142" s="7" t="str">
        <f>IFERROR(__xludf.DUMMYFUNCTION("regexreplace(G142, ""_"", """")"),"spontaneousrespirationtime")</f>
        <v>spontaneousrespirationtime</v>
      </c>
      <c r="L142" s="10" t="s">
        <v>647</v>
      </c>
      <c r="M142" s="10" t="s">
        <v>648</v>
      </c>
    </row>
    <row r="143">
      <c r="A143" s="10"/>
      <c r="B143" s="7" t="s">
        <v>487</v>
      </c>
      <c r="C143" s="7" t="s">
        <v>649</v>
      </c>
      <c r="D143" s="7" t="s">
        <v>43</v>
      </c>
      <c r="E143" s="10" t="s">
        <v>650</v>
      </c>
      <c r="F143" s="9">
        <f t="shared" si="7"/>
        <v>2</v>
      </c>
      <c r="G143" s="7" t="s">
        <v>651</v>
      </c>
      <c r="H143" s="10"/>
      <c r="I143" s="7" t="str">
        <f>IFERROR(__xludf.DUMMYFUNCTION("regexreplace(lower(C143), ""_"", """")"),"cordbloodgas")</f>
        <v>cordbloodgas</v>
      </c>
      <c r="J143" s="9" t="b">
        <f t="shared" si="2"/>
        <v>1</v>
      </c>
      <c r="K143" s="7" t="str">
        <f>IFERROR(__xludf.DUMMYFUNCTION("regexreplace(G143, ""_"", """")"),"cordbloodgas")</f>
        <v>cordbloodgas</v>
      </c>
      <c r="L143" s="10" t="s">
        <v>652</v>
      </c>
      <c r="M143" s="10" t="s">
        <v>653</v>
      </c>
    </row>
    <row r="144">
      <c r="A144" s="10"/>
      <c r="B144" s="7" t="s">
        <v>487</v>
      </c>
      <c r="C144" s="7" t="s">
        <v>654</v>
      </c>
      <c r="D144" s="7" t="s">
        <v>654</v>
      </c>
      <c r="E144" s="10" t="s">
        <v>655</v>
      </c>
      <c r="F144" s="9">
        <f t="shared" si="7"/>
        <v>2</v>
      </c>
      <c r="G144" s="7" t="s">
        <v>656</v>
      </c>
      <c r="H144" s="10"/>
      <c r="I144" s="7" t="str">
        <f>IFERROR(__xludf.DUMMYFUNCTION("regexreplace(lower(C144), ""_"", """")"),"cordbloodgassrc")</f>
        <v>cordbloodgassrc</v>
      </c>
      <c r="J144" s="9" t="b">
        <f t="shared" si="2"/>
        <v>1</v>
      </c>
      <c r="K144" s="7" t="str">
        <f>IFERROR(__xludf.DUMMYFUNCTION("regexreplace(G144, ""_"", """")"),"cordbloodgassrc")</f>
        <v>cordbloodgassrc</v>
      </c>
      <c r="L144" s="10" t="s">
        <v>657</v>
      </c>
      <c r="M144" s="10" t="s">
        <v>658</v>
      </c>
    </row>
    <row r="145">
      <c r="A145" s="10"/>
      <c r="B145" s="7" t="s">
        <v>487</v>
      </c>
      <c r="C145" s="7" t="s">
        <v>659</v>
      </c>
      <c r="D145" s="7" t="s">
        <v>154</v>
      </c>
      <c r="E145" s="10" t="s">
        <v>660</v>
      </c>
      <c r="F145" s="9">
        <f t="shared" si="7"/>
        <v>2</v>
      </c>
      <c r="G145" s="7" t="s">
        <v>661</v>
      </c>
      <c r="H145" s="10"/>
      <c r="I145" s="7" t="str">
        <f>IFERROR(__xludf.DUMMYFUNCTION("regexreplace(lower(C145), ""_"", """")"),"cordbloodgasph")</f>
        <v>cordbloodgasph</v>
      </c>
      <c r="J145" s="9" t="b">
        <f t="shared" si="2"/>
        <v>1</v>
      </c>
      <c r="K145" s="7" t="str">
        <f>IFERROR(__xludf.DUMMYFUNCTION("regexreplace(G145, ""_"", """")"),"cordbloodgasph")</f>
        <v>cordbloodgasph</v>
      </c>
      <c r="L145" s="10" t="s">
        <v>662</v>
      </c>
      <c r="M145" s="10" t="s">
        <v>663</v>
      </c>
    </row>
    <row r="146">
      <c r="A146" s="10"/>
      <c r="B146" s="7" t="s">
        <v>487</v>
      </c>
      <c r="C146" s="7" t="s">
        <v>664</v>
      </c>
      <c r="D146" s="7" t="s">
        <v>154</v>
      </c>
      <c r="E146" s="10" t="s">
        <v>665</v>
      </c>
      <c r="F146" s="9">
        <f t="shared" si="7"/>
        <v>2</v>
      </c>
      <c r="G146" s="7" t="s">
        <v>666</v>
      </c>
      <c r="H146" s="10"/>
      <c r="I146" s="7" t="str">
        <f>IFERROR(__xludf.DUMMYFUNCTION("regexreplace(lower(C146), ""_"", """")"),"cordbloodgaspco2mmhg")</f>
        <v>cordbloodgaspco2mmhg</v>
      </c>
      <c r="J146" s="9" t="b">
        <f t="shared" si="2"/>
        <v>1</v>
      </c>
      <c r="K146" s="7" t="str">
        <f>IFERROR(__xludf.DUMMYFUNCTION("regexreplace(G146, ""_"", """")"),"cordbloodgaspco2mmhg")</f>
        <v>cordbloodgaspco2mmhg</v>
      </c>
      <c r="L146" s="10" t="s">
        <v>667</v>
      </c>
      <c r="M146" s="10" t="s">
        <v>668</v>
      </c>
    </row>
    <row r="147">
      <c r="A147" s="10"/>
      <c r="B147" s="7" t="s">
        <v>487</v>
      </c>
      <c r="C147" s="7" t="s">
        <v>669</v>
      </c>
      <c r="D147" s="7" t="s">
        <v>154</v>
      </c>
      <c r="E147" s="10" t="s">
        <v>670</v>
      </c>
      <c r="F147" s="9">
        <f t="shared" si="7"/>
        <v>2</v>
      </c>
      <c r="G147" s="7" t="s">
        <v>671</v>
      </c>
      <c r="H147" s="10"/>
      <c r="I147" s="7" t="str">
        <f>IFERROR(__xludf.DUMMYFUNCTION("regexreplace(lower(C147), ""_"", """")"),"cordbloodgaspo2mmhg")</f>
        <v>cordbloodgaspo2mmhg</v>
      </c>
      <c r="J147" s="9" t="b">
        <f t="shared" si="2"/>
        <v>1</v>
      </c>
      <c r="K147" s="7" t="str">
        <f>IFERROR(__xludf.DUMMYFUNCTION("regexreplace(G147, ""_"", """")"),"cordbloodgaspo2mmhg")</f>
        <v>cordbloodgaspo2mmhg</v>
      </c>
      <c r="L147" s="10" t="s">
        <v>672</v>
      </c>
      <c r="M147" s="10" t="s">
        <v>673</v>
      </c>
    </row>
    <row r="148">
      <c r="A148" s="10"/>
      <c r="B148" s="7" t="s">
        <v>487</v>
      </c>
      <c r="C148" s="7" t="s">
        <v>674</v>
      </c>
      <c r="D148" s="7" t="s">
        <v>154</v>
      </c>
      <c r="E148" s="10" t="s">
        <v>675</v>
      </c>
      <c r="F148" s="9">
        <f t="shared" si="7"/>
        <v>2</v>
      </c>
      <c r="G148" s="7" t="s">
        <v>676</v>
      </c>
      <c r="H148" s="10"/>
      <c r="I148" s="7" t="str">
        <f>IFERROR(__xludf.DUMMYFUNCTION("regexreplace(lower(C148), ""_"", """")"),"cordbloodgashco3meqperl")</f>
        <v>cordbloodgashco3meqperl</v>
      </c>
      <c r="J148" s="9" t="b">
        <f t="shared" si="2"/>
        <v>1</v>
      </c>
      <c r="K148" s="7" t="str">
        <f>IFERROR(__xludf.DUMMYFUNCTION("regexreplace(G148, ""_"", """")"),"cordbloodgashco3meqperl")</f>
        <v>cordbloodgashco3meqperl</v>
      </c>
      <c r="L148" s="10" t="s">
        <v>677</v>
      </c>
      <c r="M148" s="10" t="s">
        <v>678</v>
      </c>
    </row>
    <row r="149">
      <c r="A149" s="10"/>
      <c r="B149" s="7" t="s">
        <v>487</v>
      </c>
      <c r="C149" s="7" t="s">
        <v>679</v>
      </c>
      <c r="D149" s="7" t="s">
        <v>154</v>
      </c>
      <c r="E149" s="10" t="s">
        <v>680</v>
      </c>
      <c r="F149" s="9">
        <f t="shared" si="7"/>
        <v>2</v>
      </c>
      <c r="G149" s="7" t="s">
        <v>681</v>
      </c>
      <c r="H149" s="10"/>
      <c r="I149" s="7" t="str">
        <f>IFERROR(__xludf.DUMMYFUNCTION("regexreplace(lower(C149), ""_"", """")"),"cordbloodgasbasedeficitmeqperl")</f>
        <v>cordbloodgasbasedeficitmeqperl</v>
      </c>
      <c r="J149" s="9" t="b">
        <f t="shared" si="2"/>
        <v>1</v>
      </c>
      <c r="K149" s="7" t="str">
        <f>IFERROR(__xludf.DUMMYFUNCTION("regexreplace(G149, ""_"", """")"),"cordbloodgasbasedeficitmeqperl")</f>
        <v>cordbloodgasbasedeficitmeqperl</v>
      </c>
      <c r="L149" s="10" t="s">
        <v>682</v>
      </c>
      <c r="M149" s="10" t="s">
        <v>683</v>
      </c>
    </row>
    <row r="150">
      <c r="A150" s="10"/>
      <c r="B150" s="7" t="s">
        <v>487</v>
      </c>
      <c r="C150" s="7" t="s">
        <v>684</v>
      </c>
      <c r="D150" s="7" t="s">
        <v>43</v>
      </c>
      <c r="E150" s="10" t="s">
        <v>685</v>
      </c>
      <c r="F150" s="9">
        <f t="shared" si="7"/>
        <v>2</v>
      </c>
      <c r="G150" s="7" t="s">
        <v>686</v>
      </c>
      <c r="H150" s="10"/>
      <c r="I150" s="7" t="str">
        <f>IFERROR(__xludf.DUMMYFUNCTION("regexreplace(lower(C150), ""_"", """")"),"firstpostnatalbloodgas")</f>
        <v>firstpostnatalbloodgas</v>
      </c>
      <c r="J150" s="9" t="b">
        <f t="shared" si="2"/>
        <v>1</v>
      </c>
      <c r="K150" s="7" t="str">
        <f>IFERROR(__xludf.DUMMYFUNCTION("regexreplace(G150, ""_"", """")"),"firstpostnatalbloodgas")</f>
        <v>firstpostnatalbloodgas</v>
      </c>
      <c r="L150" s="10" t="s">
        <v>687</v>
      </c>
      <c r="M150" s="10" t="s">
        <v>688</v>
      </c>
    </row>
    <row r="151">
      <c r="A151" s="10"/>
      <c r="B151" s="7" t="s">
        <v>487</v>
      </c>
      <c r="C151" s="7" t="s">
        <v>689</v>
      </c>
      <c r="D151" s="7" t="s">
        <v>690</v>
      </c>
      <c r="E151" s="10" t="s">
        <v>691</v>
      </c>
      <c r="F151" s="9">
        <f t="shared" si="7"/>
        <v>2</v>
      </c>
      <c r="G151" s="7" t="s">
        <v>692</v>
      </c>
      <c r="H151" s="10"/>
      <c r="I151" s="7" t="str">
        <f>IFERROR(__xludf.DUMMYFUNCTION("regexreplace(lower(C151), ""_"", """")"),"firstpostnatalbloodgassrc")</f>
        <v>firstpostnatalbloodgassrc</v>
      </c>
      <c r="J151" s="9" t="b">
        <f t="shared" si="2"/>
        <v>1</v>
      </c>
      <c r="K151" s="7" t="str">
        <f>IFERROR(__xludf.DUMMYFUNCTION("regexreplace(G151, ""_"", """")"),"firstpostnatalbloodgassrc")</f>
        <v>firstpostnatalbloodgassrc</v>
      </c>
      <c r="L151" s="10" t="s">
        <v>693</v>
      </c>
      <c r="M151" s="10" t="s">
        <v>694</v>
      </c>
    </row>
    <row r="152">
      <c r="A152" s="10"/>
      <c r="B152" s="7" t="s">
        <v>487</v>
      </c>
      <c r="C152" s="7" t="s">
        <v>695</v>
      </c>
      <c r="D152" s="7" t="s">
        <v>29</v>
      </c>
      <c r="E152" s="10" t="s">
        <v>696</v>
      </c>
      <c r="F152" s="9">
        <f t="shared" si="7"/>
        <v>2</v>
      </c>
      <c r="G152" s="7" t="s">
        <v>697</v>
      </c>
      <c r="H152" s="10"/>
      <c r="I152" s="7" t="str">
        <f>IFERROR(__xludf.DUMMYFUNCTION("regexreplace(lower(C152), ""_"", """")"),"firstpostnatalbloodgasdate")</f>
        <v>firstpostnatalbloodgasdate</v>
      </c>
      <c r="J152" s="9" t="b">
        <f t="shared" si="2"/>
        <v>1</v>
      </c>
      <c r="K152" s="7" t="str">
        <f>IFERROR(__xludf.DUMMYFUNCTION("regexreplace(G152, ""_"", """")"),"firstpostnatalbloodgasdate")</f>
        <v>firstpostnatalbloodgasdate</v>
      </c>
      <c r="L152" s="10" t="s">
        <v>698</v>
      </c>
      <c r="M152" s="10" t="s">
        <v>699</v>
      </c>
    </row>
    <row r="153">
      <c r="A153" s="10"/>
      <c r="B153" s="7" t="s">
        <v>487</v>
      </c>
      <c r="C153" s="7" t="s">
        <v>700</v>
      </c>
      <c r="D153" s="7" t="s">
        <v>148</v>
      </c>
      <c r="E153" s="10" t="s">
        <v>701</v>
      </c>
      <c r="F153" s="9">
        <f t="shared" si="7"/>
        <v>2</v>
      </c>
      <c r="G153" s="7" t="s">
        <v>702</v>
      </c>
      <c r="H153" s="10"/>
      <c r="I153" s="7" t="str">
        <f>IFERROR(__xludf.DUMMYFUNCTION("regexreplace(lower(C153), ""_"", """")"),"firstpostnatalbloodgastime")</f>
        <v>firstpostnatalbloodgastime</v>
      </c>
      <c r="J153" s="9" t="b">
        <f t="shared" si="2"/>
        <v>1</v>
      </c>
      <c r="K153" s="7" t="str">
        <f>IFERROR(__xludf.DUMMYFUNCTION("regexreplace(G153, ""_"", """")"),"firstpostnatalbloodgastime")</f>
        <v>firstpostnatalbloodgastime</v>
      </c>
      <c r="L153" s="10" t="s">
        <v>703</v>
      </c>
      <c r="M153" s="10" t="s">
        <v>704</v>
      </c>
    </row>
    <row r="154">
      <c r="A154" s="10"/>
      <c r="B154" s="7" t="s">
        <v>487</v>
      </c>
      <c r="C154" s="7" t="s">
        <v>705</v>
      </c>
      <c r="D154" s="7" t="s">
        <v>154</v>
      </c>
      <c r="E154" s="10" t="s">
        <v>706</v>
      </c>
      <c r="F154" s="9">
        <f t="shared" si="7"/>
        <v>2</v>
      </c>
      <c r="G154" s="7" t="s">
        <v>707</v>
      </c>
      <c r="H154" s="10"/>
      <c r="I154" s="7" t="str">
        <f>IFERROR(__xludf.DUMMYFUNCTION("regexreplace(lower(C154), ""_"", """")"),"firstpostnatalbloodgasph")</f>
        <v>firstpostnatalbloodgasph</v>
      </c>
      <c r="J154" s="9" t="b">
        <f t="shared" si="2"/>
        <v>1</v>
      </c>
      <c r="K154" s="7" t="str">
        <f>IFERROR(__xludf.DUMMYFUNCTION("regexreplace(G154, ""_"", """")"),"firstpostnatalbloodgasph")</f>
        <v>firstpostnatalbloodgasph</v>
      </c>
      <c r="L154" s="10" t="s">
        <v>708</v>
      </c>
      <c r="M154" s="10" t="s">
        <v>709</v>
      </c>
    </row>
    <row r="155">
      <c r="A155" s="10"/>
      <c r="B155" s="7" t="s">
        <v>487</v>
      </c>
      <c r="C155" s="7" t="s">
        <v>710</v>
      </c>
      <c r="D155" s="7" t="s">
        <v>154</v>
      </c>
      <c r="E155" s="10" t="s">
        <v>711</v>
      </c>
      <c r="F155" s="9">
        <f t="shared" si="7"/>
        <v>2</v>
      </c>
      <c r="G155" s="7" t="s">
        <v>712</v>
      </c>
      <c r="H155" s="10"/>
      <c r="I155" s="7" t="str">
        <f>IFERROR(__xludf.DUMMYFUNCTION("regexreplace(lower(C155), ""_"", """")"),"firstpostnatalbloodgaspco2mmhg")</f>
        <v>firstpostnatalbloodgaspco2mmhg</v>
      </c>
      <c r="J155" s="9" t="b">
        <f t="shared" si="2"/>
        <v>1</v>
      </c>
      <c r="K155" s="7" t="str">
        <f>IFERROR(__xludf.DUMMYFUNCTION("regexreplace(G155, ""_"", """")"),"firstpostnatalbloodgaspco2mmhg")</f>
        <v>firstpostnatalbloodgaspco2mmhg</v>
      </c>
      <c r="L155" s="10" t="s">
        <v>713</v>
      </c>
      <c r="M155" s="10" t="s">
        <v>714</v>
      </c>
    </row>
    <row r="156">
      <c r="A156" s="10"/>
      <c r="B156" s="7" t="s">
        <v>487</v>
      </c>
      <c r="C156" s="7" t="s">
        <v>715</v>
      </c>
      <c r="D156" s="7" t="s">
        <v>154</v>
      </c>
      <c r="E156" s="10" t="s">
        <v>716</v>
      </c>
      <c r="F156" s="9">
        <f t="shared" si="7"/>
        <v>2</v>
      </c>
      <c r="G156" s="7" t="s">
        <v>717</v>
      </c>
      <c r="H156" s="10"/>
      <c r="I156" s="7" t="str">
        <f>IFERROR(__xludf.DUMMYFUNCTION("regexreplace(lower(C156), ""_"", """")"),"firstpostnatalbloodgaspo2mmhg")</f>
        <v>firstpostnatalbloodgaspo2mmhg</v>
      </c>
      <c r="J156" s="9" t="b">
        <f t="shared" si="2"/>
        <v>1</v>
      </c>
      <c r="K156" s="7" t="str">
        <f>IFERROR(__xludf.DUMMYFUNCTION("regexreplace(G156, ""_"", """")"),"firstpostnatalbloodgaspo2mmhg")</f>
        <v>firstpostnatalbloodgaspo2mmhg</v>
      </c>
      <c r="L156" s="10" t="s">
        <v>718</v>
      </c>
      <c r="M156" s="10" t="s">
        <v>719</v>
      </c>
    </row>
    <row r="157">
      <c r="A157" s="10"/>
      <c r="B157" s="7" t="s">
        <v>487</v>
      </c>
      <c r="C157" s="7" t="s">
        <v>720</v>
      </c>
      <c r="D157" s="7" t="s">
        <v>154</v>
      </c>
      <c r="E157" s="10" t="s">
        <v>721</v>
      </c>
      <c r="F157" s="9">
        <f t="shared" si="7"/>
        <v>2</v>
      </c>
      <c r="G157" s="7" t="s">
        <v>722</v>
      </c>
      <c r="H157" s="10"/>
      <c r="I157" s="7" t="str">
        <f>IFERROR(__xludf.DUMMYFUNCTION("regexreplace(lower(C157), ""_"", """")"),"firstpostnatalbloodgashco3meqperl")</f>
        <v>firstpostnatalbloodgashco3meqperl</v>
      </c>
      <c r="J157" s="9" t="b">
        <f t="shared" si="2"/>
        <v>1</v>
      </c>
      <c r="K157" s="7" t="str">
        <f>IFERROR(__xludf.DUMMYFUNCTION("regexreplace(G157, ""_"", """")"),"firstpostnatalbloodgashco3meqperl")</f>
        <v>firstpostnatalbloodgashco3meqperl</v>
      </c>
      <c r="L157" s="10" t="s">
        <v>723</v>
      </c>
      <c r="M157" s="10" t="s">
        <v>724</v>
      </c>
    </row>
    <row r="158">
      <c r="A158" s="10"/>
      <c r="B158" s="7" t="s">
        <v>487</v>
      </c>
      <c r="C158" s="7" t="s">
        <v>725</v>
      </c>
      <c r="D158" s="7" t="s">
        <v>154</v>
      </c>
      <c r="E158" s="10" t="s">
        <v>726</v>
      </c>
      <c r="F158" s="9">
        <f t="shared" si="7"/>
        <v>2</v>
      </c>
      <c r="G158" s="7" t="s">
        <v>727</v>
      </c>
      <c r="H158" s="10"/>
      <c r="I158" s="7" t="str">
        <f>IFERROR(__xludf.DUMMYFUNCTION("regexreplace(lower(C158), ""_"", """")"),"firstpostnatalbloodgasbasedeficitmeqperl")</f>
        <v>firstpostnatalbloodgasbasedeficitmeqperl</v>
      </c>
      <c r="J158" s="9" t="b">
        <f t="shared" si="2"/>
        <v>1</v>
      </c>
      <c r="K158" s="7" t="str">
        <f>IFERROR(__xludf.DUMMYFUNCTION("regexreplace(G158, ""_"", """")"),"firstpostnatalbloodgasbasedeficitmeqperl")</f>
        <v>firstpostnatalbloodgasbasedeficitmeqperl</v>
      </c>
      <c r="L158" s="10" t="s">
        <v>728</v>
      </c>
      <c r="M158" s="10" t="s">
        <v>729</v>
      </c>
    </row>
    <row r="159">
      <c r="A159" s="10"/>
      <c r="B159" s="7" t="s">
        <v>487</v>
      </c>
      <c r="C159" s="7" t="s">
        <v>730</v>
      </c>
      <c r="D159" s="7" t="s">
        <v>43</v>
      </c>
      <c r="E159" s="18" t="s">
        <v>731</v>
      </c>
      <c r="F159" s="9">
        <f t="shared" si="7"/>
        <v>1</v>
      </c>
      <c r="G159" s="7" t="s">
        <v>730</v>
      </c>
      <c r="H159" s="10"/>
      <c r="I159" s="7" t="str">
        <f>IFERROR(__xludf.DUMMYFUNCTION("regexreplace(lower(C159), ""_"", """")"),"acidosis")</f>
        <v>acidosis</v>
      </c>
      <c r="J159" s="9" t="b">
        <f t="shared" si="2"/>
        <v>1</v>
      </c>
      <c r="K159" s="7" t="str">
        <f>IFERROR(__xludf.DUMMYFUNCTION("regexreplace(G159, ""_"", """")"),"acidosis")</f>
        <v>acidosis</v>
      </c>
      <c r="L159" s="10"/>
      <c r="M159" s="8" t="s">
        <v>730</v>
      </c>
    </row>
    <row r="160">
      <c r="A160" s="10"/>
      <c r="B160" s="7" t="s">
        <v>487</v>
      </c>
      <c r="C160" s="16" t="s">
        <v>732</v>
      </c>
      <c r="D160" s="7" t="s">
        <v>43</v>
      </c>
      <c r="E160" s="18" t="s">
        <v>733</v>
      </c>
      <c r="F160" s="9">
        <f t="shared" si="7"/>
        <v>1</v>
      </c>
      <c r="G160" s="16" t="s">
        <v>734</v>
      </c>
      <c r="H160" s="10"/>
      <c r="I160" s="7" t="str">
        <f>IFERROR(__xludf.DUMMYFUNCTION("regexreplace(lower(C160), ""_"", """")"),"apgar10minless5")</f>
        <v>apgar10minless5</v>
      </c>
      <c r="J160" s="9" t="b">
        <f t="shared" si="2"/>
        <v>1</v>
      </c>
      <c r="K160" s="7" t="str">
        <f>IFERROR(__xludf.DUMMYFUNCTION("regexreplace(G160, ""_"", """")"),"apgar10minless5")</f>
        <v>apgar10minless5</v>
      </c>
      <c r="L160" s="10"/>
      <c r="M160" s="8" t="s">
        <v>735</v>
      </c>
    </row>
    <row r="161">
      <c r="A161" s="10"/>
      <c r="B161" s="7" t="s">
        <v>487</v>
      </c>
      <c r="C161" s="16" t="s">
        <v>736</v>
      </c>
      <c r="D161" s="7" t="s">
        <v>43</v>
      </c>
      <c r="E161" s="18" t="s">
        <v>737</v>
      </c>
      <c r="F161" s="9">
        <f t="shared" si="7"/>
        <v>1</v>
      </c>
      <c r="G161" s="16" t="s">
        <v>738</v>
      </c>
      <c r="H161" s="10"/>
      <c r="I161" s="7" t="str">
        <f>IFERROR(__xludf.DUMMYFUNCTION("regexreplace(lower(C161), ""_"", """")"),"apgar10minlesseq5")</f>
        <v>apgar10minlesseq5</v>
      </c>
      <c r="J161" s="9" t="b">
        <f t="shared" si="2"/>
        <v>1</v>
      </c>
      <c r="K161" s="7" t="str">
        <f>IFERROR(__xludf.DUMMYFUNCTION("regexreplace(G161, ""_"", """")"),"apgar10minlesseq5")</f>
        <v>apgar10minlesseq5</v>
      </c>
      <c r="L161" s="10"/>
      <c r="M161" s="8" t="s">
        <v>739</v>
      </c>
    </row>
    <row r="162">
      <c r="A162" s="10"/>
      <c r="B162" s="7" t="s">
        <v>487</v>
      </c>
      <c r="C162" s="16" t="s">
        <v>740</v>
      </c>
      <c r="D162" s="7" t="s">
        <v>43</v>
      </c>
      <c r="E162" s="18" t="s">
        <v>741</v>
      </c>
      <c r="F162" s="9">
        <f t="shared" si="7"/>
        <v>1</v>
      </c>
      <c r="G162" s="16" t="s">
        <v>742</v>
      </c>
      <c r="H162" s="10"/>
      <c r="I162" s="7" t="str">
        <f>IFERROR(__xludf.DUMMYFUNCTION("regexreplace(lower(C162), ""_"", """")"),"apgar5minlesseq5")</f>
        <v>apgar5minlesseq5</v>
      </c>
      <c r="J162" s="9" t="b">
        <f t="shared" si="2"/>
        <v>1</v>
      </c>
      <c r="K162" s="7" t="str">
        <f>IFERROR(__xludf.DUMMYFUNCTION("regexreplace(G162, ""_"", """")"),"apgar5minlesseq5")</f>
        <v>apgar5minlesseq5</v>
      </c>
      <c r="L162" s="10"/>
      <c r="M162" s="8" t="s">
        <v>743</v>
      </c>
    </row>
    <row r="163">
      <c r="A163" s="10"/>
      <c r="B163" s="7" t="s">
        <v>487</v>
      </c>
      <c r="C163" s="24" t="s">
        <v>744</v>
      </c>
      <c r="D163" s="7" t="s">
        <v>154</v>
      </c>
      <c r="E163" s="18" t="s">
        <v>745</v>
      </c>
      <c r="F163" s="9">
        <f t="shared" si="7"/>
        <v>1</v>
      </c>
      <c r="G163" s="16" t="s">
        <v>746</v>
      </c>
      <c r="H163" s="10"/>
      <c r="I163" s="7" t="str">
        <f>IFERROR(__xludf.DUMMYFUNCTION("regexreplace(lower(C163), ""_"", """")"),"initbloodgasbasedeficitmeqperl")</f>
        <v>initbloodgasbasedeficitmeqperl</v>
      </c>
      <c r="J163" s="9" t="b">
        <f t="shared" si="2"/>
        <v>1</v>
      </c>
      <c r="K163" s="7" t="str">
        <f>IFERROR(__xludf.DUMMYFUNCTION("regexreplace(G163, ""_"", """")"),"initbloodgasbasedeficitmeqperl")</f>
        <v>initbloodgasbasedeficitmeqperl</v>
      </c>
      <c r="L163" s="10"/>
      <c r="M163" s="8" t="s">
        <v>747</v>
      </c>
    </row>
    <row r="164">
      <c r="A164" s="10"/>
      <c r="B164" s="7" t="s">
        <v>487</v>
      </c>
      <c r="C164" s="16" t="s">
        <v>748</v>
      </c>
      <c r="D164" s="16" t="s">
        <v>749</v>
      </c>
      <c r="E164" s="18" t="s">
        <v>750</v>
      </c>
      <c r="F164" s="9">
        <f t="shared" si="7"/>
        <v>1</v>
      </c>
      <c r="G164" s="16" t="s">
        <v>751</v>
      </c>
      <c r="H164" s="10"/>
      <c r="I164" s="7" t="str">
        <f>IFERROR(__xludf.DUMMYFUNCTION("regexreplace(lower(C164), ""_"", """")"),"initbloodgasbasedeficitmeqperlsrc")</f>
        <v>initbloodgasbasedeficitmeqperlsrc</v>
      </c>
      <c r="J164" s="9" t="b">
        <f t="shared" si="2"/>
        <v>1</v>
      </c>
      <c r="K164" s="7" t="str">
        <f>IFERROR(__xludf.DUMMYFUNCTION("regexreplace(G164, ""_"", """")"),"initbloodgasbasedeficitmeqperlsrc")</f>
        <v>initbloodgasbasedeficitmeqperlsrc</v>
      </c>
      <c r="L164" s="10"/>
      <c r="M164" s="8" t="s">
        <v>752</v>
      </c>
    </row>
    <row r="165">
      <c r="A165" s="10"/>
      <c r="B165" s="7" t="s">
        <v>487</v>
      </c>
      <c r="C165" s="24" t="s">
        <v>753</v>
      </c>
      <c r="D165" s="7" t="s">
        <v>154</v>
      </c>
      <c r="E165" s="18" t="s">
        <v>754</v>
      </c>
      <c r="F165" s="9">
        <f t="shared" si="7"/>
        <v>1</v>
      </c>
      <c r="G165" s="16" t="s">
        <v>755</v>
      </c>
      <c r="H165" s="10"/>
      <c r="I165" s="7" t="str">
        <f>IFERROR(__xludf.DUMMYFUNCTION("regexreplace(lower(C165), ""_"", """")"),"initbloodgasph")</f>
        <v>initbloodgasph</v>
      </c>
      <c r="J165" s="9" t="b">
        <f t="shared" si="2"/>
        <v>1</v>
      </c>
      <c r="K165" s="7" t="str">
        <f>IFERROR(__xludf.DUMMYFUNCTION("regexreplace(G165, ""_"", """")"),"initbloodgasph")</f>
        <v>initbloodgasph</v>
      </c>
      <c r="L165" s="10"/>
      <c r="M165" s="8" t="s">
        <v>756</v>
      </c>
    </row>
    <row r="166">
      <c r="A166" s="10"/>
      <c r="B166" s="7" t="s">
        <v>487</v>
      </c>
      <c r="C166" s="16" t="s">
        <v>757</v>
      </c>
      <c r="D166" s="16" t="s">
        <v>749</v>
      </c>
      <c r="E166" s="18" t="s">
        <v>758</v>
      </c>
      <c r="F166" s="9">
        <f t="shared" si="7"/>
        <v>1</v>
      </c>
      <c r="G166" s="16" t="s">
        <v>759</v>
      </c>
      <c r="H166" s="10"/>
      <c r="I166" s="7" t="str">
        <f>IFERROR(__xludf.DUMMYFUNCTION("regexreplace(lower(C166), ""_"", """")"),"initbloodgasphsrc")</f>
        <v>initbloodgasphsrc</v>
      </c>
      <c r="J166" s="9" t="b">
        <f t="shared" si="2"/>
        <v>1</v>
      </c>
      <c r="K166" s="7" t="str">
        <f>IFERROR(__xludf.DUMMYFUNCTION("regexreplace(G166, ""_"", """")"),"initbloodgasphsrc")</f>
        <v>initbloodgasphsrc</v>
      </c>
      <c r="L166" s="10"/>
      <c r="M166" s="8" t="s">
        <v>760</v>
      </c>
    </row>
    <row r="167">
      <c r="A167" s="12"/>
      <c r="B167" s="12"/>
      <c r="C167" s="13"/>
      <c r="D167" s="12"/>
      <c r="E167" s="12"/>
      <c r="F167" s="12"/>
      <c r="G167" s="12"/>
      <c r="H167" s="12"/>
      <c r="I167" s="13" t="str">
        <f>IFERROR(__xludf.DUMMYFUNCTION("regexreplace(lower(C167), ""_"", """")"),"")</f>
        <v/>
      </c>
      <c r="J167" s="14" t="str">
        <f t="shared" si="2"/>
        <v/>
      </c>
      <c r="K167" s="13" t="str">
        <f>IFERROR(__xludf.DUMMYFUNCTION("regexreplace(G167, ""_"", """")"),"")</f>
        <v/>
      </c>
      <c r="L167" s="12"/>
      <c r="M167" s="12"/>
    </row>
    <row r="168">
      <c r="A168" s="5" t="s">
        <v>13</v>
      </c>
      <c r="B168" s="7" t="s">
        <v>761</v>
      </c>
      <c r="C168" s="11" t="s">
        <v>762</v>
      </c>
      <c r="D168" s="11" t="s">
        <v>763</v>
      </c>
      <c r="E168" s="10" t="s">
        <v>764</v>
      </c>
      <c r="F168" s="9">
        <f t="shared" ref="F168:F189" si="8">counta(L168:M168)</f>
        <v>1</v>
      </c>
      <c r="G168" s="7" t="s">
        <v>765</v>
      </c>
      <c r="H168" s="10"/>
      <c r="I168" s="7" t="str">
        <f>IFERROR(__xludf.DUMMYFUNCTION("regexreplace(lower(C168), ""_"", """")"),"targettreatmenttemperaturec")</f>
        <v>targettreatmenttemperaturec</v>
      </c>
      <c r="J168" s="9" t="b">
        <f t="shared" si="2"/>
        <v>1</v>
      </c>
      <c r="K168" s="7" t="str">
        <f>IFERROR(__xludf.DUMMYFUNCTION("regexreplace(G168, ""_"", """")"),"targettreatmenttemperaturec")</f>
        <v>targettreatmenttemperaturec</v>
      </c>
      <c r="L168" s="10"/>
      <c r="M168" s="10" t="s">
        <v>766</v>
      </c>
    </row>
    <row r="169">
      <c r="A169" s="10"/>
      <c r="B169" s="7" t="s">
        <v>761</v>
      </c>
      <c r="C169" s="7" t="s">
        <v>767</v>
      </c>
      <c r="D169" s="7" t="s">
        <v>43</v>
      </c>
      <c r="E169" s="10" t="s">
        <v>768</v>
      </c>
      <c r="F169" s="9">
        <f t="shared" si="8"/>
        <v>1</v>
      </c>
      <c r="G169" s="7" t="s">
        <v>769</v>
      </c>
      <c r="H169" s="10"/>
      <c r="I169" s="7" t="str">
        <f>IFERROR(__xludf.DUMMYFUNCTION("regexreplace(lower(C169), ""_"", """")"),"precoolinitiate")</f>
        <v>precoolinitiate</v>
      </c>
      <c r="J169" s="9" t="b">
        <f t="shared" si="2"/>
        <v>1</v>
      </c>
      <c r="K169" s="7" t="str">
        <f>IFERROR(__xludf.DUMMYFUNCTION("regexreplace(G169, ""_"", """")"),"precoolinitiate")</f>
        <v>precoolinitiate</v>
      </c>
      <c r="L169" s="10"/>
      <c r="M169" s="10" t="s">
        <v>770</v>
      </c>
    </row>
    <row r="170">
      <c r="A170" s="10"/>
      <c r="B170" s="7" t="s">
        <v>761</v>
      </c>
      <c r="C170" s="7" t="s">
        <v>771</v>
      </c>
      <c r="D170" s="7" t="s">
        <v>43</v>
      </c>
      <c r="E170" s="10" t="s">
        <v>772</v>
      </c>
      <c r="F170" s="9">
        <f t="shared" si="8"/>
        <v>1</v>
      </c>
      <c r="G170" s="7" t="s">
        <v>773</v>
      </c>
      <c r="H170" s="10"/>
      <c r="I170" s="7" t="str">
        <f>IFERROR(__xludf.DUMMYFUNCTION("regexreplace(lower(C170), ""_"", """")"),"precoolbyicegelpack")</f>
        <v>precoolbyicegelpack</v>
      </c>
      <c r="J170" s="9" t="b">
        <f t="shared" si="2"/>
        <v>1</v>
      </c>
      <c r="K170" s="7" t="str">
        <f>IFERROR(__xludf.DUMMYFUNCTION("regexreplace(G170, ""_"", """")"),"precoolbyicegelpack")</f>
        <v>precoolbyicegelpack</v>
      </c>
      <c r="L170" s="10"/>
      <c r="M170" s="10" t="s">
        <v>774</v>
      </c>
    </row>
    <row r="171">
      <c r="A171" s="10"/>
      <c r="B171" s="7" t="s">
        <v>761</v>
      </c>
      <c r="C171" s="7" t="s">
        <v>775</v>
      </c>
      <c r="D171" s="7" t="s">
        <v>43</v>
      </c>
      <c r="E171" s="10" t="s">
        <v>776</v>
      </c>
      <c r="F171" s="9">
        <f t="shared" si="8"/>
        <v>1</v>
      </c>
      <c r="G171" s="7" t="s">
        <v>777</v>
      </c>
      <c r="H171" s="10"/>
      <c r="I171" s="7" t="str">
        <f>IFERROR(__xludf.DUMMYFUNCTION("regexreplace(lower(C171), ""_"", """")"),"precoolpassively")</f>
        <v>precoolpassively</v>
      </c>
      <c r="J171" s="9" t="b">
        <f t="shared" si="2"/>
        <v>1</v>
      </c>
      <c r="K171" s="7" t="str">
        <f>IFERROR(__xludf.DUMMYFUNCTION("regexreplace(G171, ""_"", """")"),"precoolpassively")</f>
        <v>precoolpassively</v>
      </c>
      <c r="L171" s="10"/>
      <c r="M171" s="10" t="s">
        <v>778</v>
      </c>
    </row>
    <row r="172">
      <c r="A172" s="10"/>
      <c r="B172" s="7" t="s">
        <v>761</v>
      </c>
      <c r="C172" s="7" t="s">
        <v>779</v>
      </c>
      <c r="D172" s="7" t="s">
        <v>43</v>
      </c>
      <c r="E172" s="10" t="s">
        <v>780</v>
      </c>
      <c r="F172" s="9">
        <f t="shared" si="8"/>
        <v>1</v>
      </c>
      <c r="G172" s="7" t="s">
        <v>781</v>
      </c>
      <c r="H172" s="10"/>
      <c r="I172" s="7" t="str">
        <f>IFERROR(__xludf.DUMMYFUNCTION("regexreplace(lower(C172), ""_"", """")"),"precoolclinically")</f>
        <v>precoolclinically</v>
      </c>
      <c r="J172" s="9" t="b">
        <f t="shared" si="2"/>
        <v>1</v>
      </c>
      <c r="K172" s="7" t="str">
        <f>IFERROR(__xludf.DUMMYFUNCTION("regexreplace(G172, ""_"", """")"),"precoolclinically")</f>
        <v>precoolclinically</v>
      </c>
      <c r="L172" s="10"/>
      <c r="M172" s="10" t="s">
        <v>782</v>
      </c>
    </row>
    <row r="173">
      <c r="A173" s="10"/>
      <c r="B173" s="7" t="s">
        <v>761</v>
      </c>
      <c r="C173" s="7" t="s">
        <v>783</v>
      </c>
      <c r="D173" s="7" t="s">
        <v>29</v>
      </c>
      <c r="E173" s="15" t="s">
        <v>784</v>
      </c>
      <c r="F173" s="9">
        <f t="shared" si="8"/>
        <v>1</v>
      </c>
      <c r="G173" s="7" t="s">
        <v>785</v>
      </c>
      <c r="H173" s="10"/>
      <c r="I173" s="7" t="str">
        <f>IFERROR(__xludf.DUMMYFUNCTION("regexreplace(lower(C173), ""_"", """")"),"precoolinitiatedate")</f>
        <v>precoolinitiatedate</v>
      </c>
      <c r="J173" s="9" t="b">
        <f t="shared" si="2"/>
        <v>1</v>
      </c>
      <c r="K173" s="7" t="str">
        <f>IFERROR(__xludf.DUMMYFUNCTION("regexreplace(G173, ""_"", """")"),"precoolinitiatedate")</f>
        <v>precoolinitiatedate</v>
      </c>
      <c r="L173" s="10"/>
      <c r="M173" s="10" t="s">
        <v>786</v>
      </c>
    </row>
    <row r="174">
      <c r="A174" s="10"/>
      <c r="B174" s="7" t="s">
        <v>761</v>
      </c>
      <c r="C174" s="7" t="s">
        <v>787</v>
      </c>
      <c r="D174" s="7" t="s">
        <v>148</v>
      </c>
      <c r="E174" s="15" t="s">
        <v>788</v>
      </c>
      <c r="F174" s="9">
        <f t="shared" si="8"/>
        <v>1</v>
      </c>
      <c r="G174" s="7" t="s">
        <v>789</v>
      </c>
      <c r="H174" s="10"/>
      <c r="I174" s="7" t="str">
        <f>IFERROR(__xludf.DUMMYFUNCTION("regexreplace(lower(C174), ""_"", """")"),"precoolinitiatetime")</f>
        <v>precoolinitiatetime</v>
      </c>
      <c r="J174" s="9" t="b">
        <f t="shared" si="2"/>
        <v>1</v>
      </c>
      <c r="K174" s="7" t="str">
        <f>IFERROR(__xludf.DUMMYFUNCTION("regexreplace(G174, ""_"", """")"),"precoolinitiatetime")</f>
        <v>precoolinitiatetime</v>
      </c>
      <c r="L174" s="10"/>
      <c r="M174" s="10" t="s">
        <v>790</v>
      </c>
    </row>
    <row r="175">
      <c r="A175" s="10"/>
      <c r="B175" s="7" t="s">
        <v>761</v>
      </c>
      <c r="C175" s="7" t="s">
        <v>791</v>
      </c>
      <c r="D175" s="7" t="s">
        <v>43</v>
      </c>
      <c r="E175" s="15" t="s">
        <v>792</v>
      </c>
      <c r="F175" s="9">
        <f t="shared" si="8"/>
        <v>1</v>
      </c>
      <c r="G175" s="7" t="s">
        <v>793</v>
      </c>
      <c r="H175" s="10"/>
      <c r="I175" s="7" t="str">
        <f>IFERROR(__xludf.DUMMYFUNCTION("regexreplace(lower(C175), ""_"", """")"),"preafterovershootreach33p5c")</f>
        <v>preafterovershootreach33p5c</v>
      </c>
      <c r="J175" s="9" t="b">
        <f t="shared" si="2"/>
        <v>1</v>
      </c>
      <c r="K175" s="7" t="str">
        <f>IFERROR(__xludf.DUMMYFUNCTION("regexreplace(G175, ""_"", """")"),"preafterovershootreach33p5c")</f>
        <v>preafterovershootreach33p5c</v>
      </c>
      <c r="L175" s="10"/>
      <c r="M175" s="10" t="s">
        <v>794</v>
      </c>
    </row>
    <row r="176">
      <c r="A176" s="10"/>
      <c r="B176" s="7" t="s">
        <v>761</v>
      </c>
      <c r="C176" s="7" t="s">
        <v>795</v>
      </c>
      <c r="D176" s="7" t="s">
        <v>29</v>
      </c>
      <c r="E176" s="15" t="s">
        <v>796</v>
      </c>
      <c r="F176" s="9">
        <f t="shared" si="8"/>
        <v>1</v>
      </c>
      <c r="G176" s="7" t="s">
        <v>797</v>
      </c>
      <c r="H176" s="10"/>
      <c r="I176" s="7" t="str">
        <f>IFERROR(__xludf.DUMMYFUNCTION("regexreplace(lower(C176), ""_"", """")"),"preafterovershootreach33p5cdate")</f>
        <v>preafterovershootreach33p5cdate</v>
      </c>
      <c r="J176" s="9" t="b">
        <f t="shared" si="2"/>
        <v>1</v>
      </c>
      <c r="K176" s="7" t="str">
        <f>IFERROR(__xludf.DUMMYFUNCTION("regexreplace(G176, ""_"", """")"),"preafterovershootreach33p5cdate")</f>
        <v>preafterovershootreach33p5cdate</v>
      </c>
      <c r="L176" s="10"/>
      <c r="M176" s="10" t="s">
        <v>798</v>
      </c>
    </row>
    <row r="177">
      <c r="A177" s="10"/>
      <c r="B177" s="7" t="s">
        <v>761</v>
      </c>
      <c r="C177" s="7" t="s">
        <v>799</v>
      </c>
      <c r="D177" s="7" t="s">
        <v>148</v>
      </c>
      <c r="E177" s="15" t="s">
        <v>800</v>
      </c>
      <c r="F177" s="9">
        <f t="shared" si="8"/>
        <v>1</v>
      </c>
      <c r="G177" s="7" t="s">
        <v>801</v>
      </c>
      <c r="H177" s="10"/>
      <c r="I177" s="7" t="str">
        <f>IFERROR(__xludf.DUMMYFUNCTION("regexreplace(lower(C177), ""_"", """")"),"preafterovershootreach33p5ctime")</f>
        <v>preafterovershootreach33p5ctime</v>
      </c>
      <c r="J177" s="9" t="b">
        <f t="shared" si="2"/>
        <v>1</v>
      </c>
      <c r="K177" s="7" t="str">
        <f>IFERROR(__xludf.DUMMYFUNCTION("regexreplace(G177, ""_"", """")"),"preafterovershootreach33p5ctime")</f>
        <v>preafterovershootreach33p5ctime</v>
      </c>
      <c r="L177" s="10"/>
      <c r="M177" s="10" t="s">
        <v>802</v>
      </c>
    </row>
    <row r="178">
      <c r="A178" s="10"/>
      <c r="B178" s="7" t="s">
        <v>761</v>
      </c>
      <c r="C178" s="7" t="s">
        <v>803</v>
      </c>
      <c r="D178" s="7" t="s">
        <v>29</v>
      </c>
      <c r="E178" s="15" t="s">
        <v>804</v>
      </c>
      <c r="F178" s="9">
        <f t="shared" si="8"/>
        <v>1</v>
      </c>
      <c r="G178" s="7" t="s">
        <v>805</v>
      </c>
      <c r="H178" s="7" t="s">
        <v>806</v>
      </c>
      <c r="I178" s="7" t="str">
        <f>IFERROR(__xludf.DUMMYFUNCTION("regexreplace(lower(C178), ""_"", """")"),"pretemperaturemindate")</f>
        <v>pretemperaturemindate</v>
      </c>
      <c r="J178" s="9" t="b">
        <f t="shared" si="2"/>
        <v>1</v>
      </c>
      <c r="K178" s="7" t="str">
        <f>IFERROR(__xludf.DUMMYFUNCTION("regexreplace(G178, ""_"", """")"),"pretemperaturemindate")</f>
        <v>pretemperaturemindate</v>
      </c>
      <c r="L178" s="10"/>
      <c r="M178" s="10" t="s">
        <v>807</v>
      </c>
    </row>
    <row r="179">
      <c r="A179" s="10"/>
      <c r="B179" s="7" t="s">
        <v>761</v>
      </c>
      <c r="C179" s="7" t="s">
        <v>808</v>
      </c>
      <c r="D179" s="7" t="s">
        <v>148</v>
      </c>
      <c r="E179" s="15" t="s">
        <v>809</v>
      </c>
      <c r="F179" s="9">
        <f t="shared" si="8"/>
        <v>1</v>
      </c>
      <c r="G179" s="7" t="s">
        <v>810</v>
      </c>
      <c r="H179" s="7" t="s">
        <v>806</v>
      </c>
      <c r="I179" s="7" t="str">
        <f>IFERROR(__xludf.DUMMYFUNCTION("regexreplace(lower(C179), ""_"", """")"),"pretemperaturemintime")</f>
        <v>pretemperaturemintime</v>
      </c>
      <c r="J179" s="9" t="b">
        <f t="shared" si="2"/>
        <v>1</v>
      </c>
      <c r="K179" s="7" t="str">
        <f>IFERROR(__xludf.DUMMYFUNCTION("regexreplace(G179, ""_"", """")"),"pretemperaturemintime")</f>
        <v>pretemperaturemintime</v>
      </c>
      <c r="L179" s="10"/>
      <c r="M179" s="10" t="s">
        <v>811</v>
      </c>
    </row>
    <row r="180">
      <c r="A180" s="10"/>
      <c r="B180" s="7" t="s">
        <v>761</v>
      </c>
      <c r="C180" s="7" t="s">
        <v>812</v>
      </c>
      <c r="D180" s="7" t="s">
        <v>154</v>
      </c>
      <c r="E180" s="10" t="s">
        <v>813</v>
      </c>
      <c r="F180" s="9">
        <f t="shared" si="8"/>
        <v>1</v>
      </c>
      <c r="G180" s="7" t="s">
        <v>814</v>
      </c>
      <c r="H180" s="7" t="s">
        <v>806</v>
      </c>
      <c r="I180" s="7" t="str">
        <f>IFERROR(__xludf.DUMMYFUNCTION("regexreplace(lower(C180), ""_"", """")"),"preskintemperatureminc")</f>
        <v>preskintemperatureminc</v>
      </c>
      <c r="J180" s="9" t="b">
        <f t="shared" si="2"/>
        <v>1</v>
      </c>
      <c r="K180" s="7" t="str">
        <f>IFERROR(__xludf.DUMMYFUNCTION("regexreplace(G180, ""_"", """")"),"preskintemperatureminc")</f>
        <v>preskintemperatureminc</v>
      </c>
      <c r="L180" s="10"/>
      <c r="M180" s="10" t="s">
        <v>815</v>
      </c>
    </row>
    <row r="181">
      <c r="A181" s="10"/>
      <c r="B181" s="7" t="s">
        <v>761</v>
      </c>
      <c r="C181" s="7" t="s">
        <v>816</v>
      </c>
      <c r="D181" s="7" t="s">
        <v>154</v>
      </c>
      <c r="E181" s="10" t="s">
        <v>817</v>
      </c>
      <c r="F181" s="9">
        <f t="shared" si="8"/>
        <v>1</v>
      </c>
      <c r="G181" s="7" t="s">
        <v>818</v>
      </c>
      <c r="H181" s="7" t="s">
        <v>806</v>
      </c>
      <c r="I181" s="7" t="str">
        <f>IFERROR(__xludf.DUMMYFUNCTION("regexreplace(lower(C181), ""_"", """")"),"preaxillarytemperatureminc")</f>
        <v>preaxillarytemperatureminc</v>
      </c>
      <c r="J181" s="9" t="b">
        <f t="shared" si="2"/>
        <v>1</v>
      </c>
      <c r="K181" s="7" t="str">
        <f>IFERROR(__xludf.DUMMYFUNCTION("regexreplace(G181, ""_"", """")"),"preaxillarytemperatureminc")</f>
        <v>preaxillarytemperatureminc</v>
      </c>
      <c r="L181" s="10"/>
      <c r="M181" s="10" t="s">
        <v>819</v>
      </c>
    </row>
    <row r="182">
      <c r="A182" s="10"/>
      <c r="B182" s="7" t="s">
        <v>761</v>
      </c>
      <c r="C182" s="7" t="s">
        <v>820</v>
      </c>
      <c r="D182" s="7" t="s">
        <v>154</v>
      </c>
      <c r="E182" s="10" t="s">
        <v>821</v>
      </c>
      <c r="F182" s="9">
        <f t="shared" si="8"/>
        <v>1</v>
      </c>
      <c r="G182" s="7" t="s">
        <v>822</v>
      </c>
      <c r="H182" s="7" t="s">
        <v>806</v>
      </c>
      <c r="I182" s="7" t="str">
        <f>IFERROR(__xludf.DUMMYFUNCTION("regexreplace(lower(C182), ""_"", """")"),"preesophagealtemperatureminc")</f>
        <v>preesophagealtemperatureminc</v>
      </c>
      <c r="J182" s="9" t="b">
        <f t="shared" si="2"/>
        <v>1</v>
      </c>
      <c r="K182" s="7" t="str">
        <f>IFERROR(__xludf.DUMMYFUNCTION("regexreplace(G182, ""_"", """")"),"preesophagealtemperatureminc")</f>
        <v>preesophagealtemperatureminc</v>
      </c>
      <c r="L182" s="10"/>
      <c r="M182" s="10" t="s">
        <v>823</v>
      </c>
    </row>
    <row r="183">
      <c r="A183" s="10"/>
      <c r="B183" s="7" t="s">
        <v>761</v>
      </c>
      <c r="C183" s="7" t="s">
        <v>824</v>
      </c>
      <c r="D183" s="7" t="s">
        <v>154</v>
      </c>
      <c r="E183" s="10" t="s">
        <v>825</v>
      </c>
      <c r="F183" s="9">
        <f t="shared" si="8"/>
        <v>1</v>
      </c>
      <c r="G183" s="7" t="s">
        <v>826</v>
      </c>
      <c r="H183" s="7" t="s">
        <v>806</v>
      </c>
      <c r="I183" s="7" t="str">
        <f>IFERROR(__xludf.DUMMYFUNCTION("regexreplace(lower(C183), ""_"", """")"),"preservosetminc")</f>
        <v>preservosetminc</v>
      </c>
      <c r="J183" s="9" t="b">
        <f t="shared" si="2"/>
        <v>1</v>
      </c>
      <c r="K183" s="7" t="str">
        <f>IFERROR(__xludf.DUMMYFUNCTION("regexreplace(G183, ""_"", """")"),"preservosetminc")</f>
        <v>preservosetminc</v>
      </c>
      <c r="L183" s="10"/>
      <c r="M183" s="10" t="s">
        <v>827</v>
      </c>
    </row>
    <row r="184">
      <c r="A184" s="10"/>
      <c r="B184" s="7" t="s">
        <v>761</v>
      </c>
      <c r="C184" s="7" t="s">
        <v>828</v>
      </c>
      <c r="D184" s="7" t="s">
        <v>29</v>
      </c>
      <c r="E184" s="15" t="s">
        <v>829</v>
      </c>
      <c r="F184" s="9">
        <f t="shared" si="8"/>
        <v>1</v>
      </c>
      <c r="G184" s="7" t="s">
        <v>830</v>
      </c>
      <c r="H184" s="7" t="s">
        <v>831</v>
      </c>
      <c r="I184" s="7" t="str">
        <f>IFERROR(__xludf.DUMMYFUNCTION("regexreplace(lower(C184), ""_"", """")"),"pretemperaturemaxdate")</f>
        <v>pretemperaturemaxdate</v>
      </c>
      <c r="J184" s="9" t="b">
        <f t="shared" si="2"/>
        <v>1</v>
      </c>
      <c r="K184" s="7" t="str">
        <f>IFERROR(__xludf.DUMMYFUNCTION("regexreplace(G184, ""_"", """")"),"pretemperaturemaxdate")</f>
        <v>pretemperaturemaxdate</v>
      </c>
      <c r="L184" s="10"/>
      <c r="M184" s="10" t="s">
        <v>832</v>
      </c>
    </row>
    <row r="185">
      <c r="A185" s="10"/>
      <c r="B185" s="7" t="s">
        <v>761</v>
      </c>
      <c r="C185" s="7" t="s">
        <v>833</v>
      </c>
      <c r="D185" s="7" t="s">
        <v>148</v>
      </c>
      <c r="E185" s="15" t="s">
        <v>834</v>
      </c>
      <c r="F185" s="9">
        <f t="shared" si="8"/>
        <v>1</v>
      </c>
      <c r="G185" s="7" t="s">
        <v>835</v>
      </c>
      <c r="H185" s="7" t="s">
        <v>831</v>
      </c>
      <c r="I185" s="7" t="str">
        <f>IFERROR(__xludf.DUMMYFUNCTION("regexreplace(lower(C185), ""_"", """")"),"pretemperaturemaxtime")</f>
        <v>pretemperaturemaxtime</v>
      </c>
      <c r="J185" s="9" t="b">
        <f t="shared" si="2"/>
        <v>1</v>
      </c>
      <c r="K185" s="7" t="str">
        <f>IFERROR(__xludf.DUMMYFUNCTION("regexreplace(G185, ""_"", """")"),"pretemperaturemaxtime")</f>
        <v>pretemperaturemaxtime</v>
      </c>
      <c r="L185" s="10"/>
      <c r="M185" s="10" t="s">
        <v>836</v>
      </c>
    </row>
    <row r="186">
      <c r="A186" s="10"/>
      <c r="B186" s="7" t="s">
        <v>761</v>
      </c>
      <c r="C186" s="7" t="s">
        <v>837</v>
      </c>
      <c r="D186" s="7" t="s">
        <v>154</v>
      </c>
      <c r="E186" s="10" t="s">
        <v>838</v>
      </c>
      <c r="F186" s="9">
        <f t="shared" si="8"/>
        <v>1</v>
      </c>
      <c r="G186" s="7" t="s">
        <v>839</v>
      </c>
      <c r="H186" s="7" t="s">
        <v>831</v>
      </c>
      <c r="I186" s="7" t="str">
        <f>IFERROR(__xludf.DUMMYFUNCTION("regexreplace(lower(C186), ""_"", """")"),"preskintemperaturemaxc")</f>
        <v>preskintemperaturemaxc</v>
      </c>
      <c r="J186" s="9" t="b">
        <f t="shared" si="2"/>
        <v>1</v>
      </c>
      <c r="K186" s="7" t="str">
        <f>IFERROR(__xludf.DUMMYFUNCTION("regexreplace(G186, ""_"", """")"),"preskintemperaturemaxc")</f>
        <v>preskintemperaturemaxc</v>
      </c>
      <c r="L186" s="10"/>
      <c r="M186" s="10" t="s">
        <v>840</v>
      </c>
    </row>
    <row r="187">
      <c r="A187" s="10"/>
      <c r="B187" s="7" t="s">
        <v>761</v>
      </c>
      <c r="C187" s="7" t="s">
        <v>841</v>
      </c>
      <c r="D187" s="7" t="s">
        <v>154</v>
      </c>
      <c r="E187" s="10" t="s">
        <v>842</v>
      </c>
      <c r="F187" s="9">
        <f t="shared" si="8"/>
        <v>1</v>
      </c>
      <c r="G187" s="7" t="s">
        <v>843</v>
      </c>
      <c r="H187" s="7" t="s">
        <v>831</v>
      </c>
      <c r="I187" s="7" t="str">
        <f>IFERROR(__xludf.DUMMYFUNCTION("regexreplace(lower(C187), ""_"", """")"),"preaxillarytemperaturemaxc")</f>
        <v>preaxillarytemperaturemaxc</v>
      </c>
      <c r="J187" s="9" t="b">
        <f t="shared" si="2"/>
        <v>1</v>
      </c>
      <c r="K187" s="7" t="str">
        <f>IFERROR(__xludf.DUMMYFUNCTION("regexreplace(G187, ""_"", """")"),"preaxillarytemperaturemaxc")</f>
        <v>preaxillarytemperaturemaxc</v>
      </c>
      <c r="L187" s="10"/>
      <c r="M187" s="10" t="s">
        <v>844</v>
      </c>
    </row>
    <row r="188">
      <c r="A188" s="10"/>
      <c r="B188" s="7" t="s">
        <v>761</v>
      </c>
      <c r="C188" s="7" t="s">
        <v>845</v>
      </c>
      <c r="D188" s="7" t="s">
        <v>154</v>
      </c>
      <c r="E188" s="10" t="s">
        <v>846</v>
      </c>
      <c r="F188" s="9">
        <f t="shared" si="8"/>
        <v>1</v>
      </c>
      <c r="G188" s="7" t="s">
        <v>847</v>
      </c>
      <c r="H188" s="7" t="s">
        <v>831</v>
      </c>
      <c r="I188" s="7" t="str">
        <f>IFERROR(__xludf.DUMMYFUNCTION("regexreplace(lower(C188), ""_"", """")"),"preesophagealtemperaturemaxc")</f>
        <v>preesophagealtemperaturemaxc</v>
      </c>
      <c r="J188" s="9" t="b">
        <f t="shared" si="2"/>
        <v>1</v>
      </c>
      <c r="K188" s="7" t="str">
        <f>IFERROR(__xludf.DUMMYFUNCTION("regexreplace(G188, ""_"", """")"),"preesophagealtemperaturemaxc")</f>
        <v>preesophagealtemperaturemaxc</v>
      </c>
      <c r="L188" s="10"/>
      <c r="M188" s="10" t="s">
        <v>848</v>
      </c>
    </row>
    <row r="189">
      <c r="A189" s="10"/>
      <c r="B189" s="7" t="s">
        <v>761</v>
      </c>
      <c r="C189" s="7" t="s">
        <v>849</v>
      </c>
      <c r="D189" s="7" t="s">
        <v>154</v>
      </c>
      <c r="E189" s="10" t="s">
        <v>850</v>
      </c>
      <c r="F189" s="9">
        <f t="shared" si="8"/>
        <v>1</v>
      </c>
      <c r="G189" s="7" t="s">
        <v>851</v>
      </c>
      <c r="H189" s="7" t="s">
        <v>831</v>
      </c>
      <c r="I189" s="7" t="str">
        <f>IFERROR(__xludf.DUMMYFUNCTION("regexreplace(lower(C189), ""_"", """")"),"preservosetmaxc")</f>
        <v>preservosetmaxc</v>
      </c>
      <c r="J189" s="9" t="b">
        <f t="shared" si="2"/>
        <v>1</v>
      </c>
      <c r="K189" s="7" t="str">
        <f>IFERROR(__xludf.DUMMYFUNCTION("regexreplace(G189, ""_"", """")"),"preservosetmaxc")</f>
        <v>preservosetmaxc</v>
      </c>
      <c r="L189" s="10"/>
      <c r="M189" s="10" t="s">
        <v>852</v>
      </c>
    </row>
    <row r="190">
      <c r="A190" s="12"/>
      <c r="B190" s="12"/>
      <c r="C190" s="13"/>
      <c r="D190" s="12"/>
      <c r="E190" s="12"/>
      <c r="F190" s="12"/>
      <c r="G190" s="12"/>
      <c r="H190" s="12"/>
      <c r="I190" s="13" t="str">
        <f>IFERROR(__xludf.DUMMYFUNCTION("regexreplace(lower(C190), ""_"", """")"),"")</f>
        <v/>
      </c>
      <c r="J190" s="14" t="str">
        <f t="shared" si="2"/>
        <v/>
      </c>
      <c r="K190" s="13" t="str">
        <f>IFERROR(__xludf.DUMMYFUNCTION("regexreplace(G190, ""_"", """")"),"")</f>
        <v/>
      </c>
      <c r="L190" s="12"/>
      <c r="M190" s="12"/>
    </row>
    <row r="191">
      <c r="A191" s="5" t="s">
        <v>13</v>
      </c>
      <c r="B191" s="7" t="s">
        <v>853</v>
      </c>
      <c r="C191" s="7" t="s">
        <v>854</v>
      </c>
      <c r="D191" s="7" t="s">
        <v>29</v>
      </c>
      <c r="E191" s="10" t="s">
        <v>855</v>
      </c>
      <c r="F191" s="9">
        <f t="shared" ref="F191:F200" si="9">counta(L191:M191)</f>
        <v>0</v>
      </c>
      <c r="G191" s="7" t="s">
        <v>856</v>
      </c>
      <c r="H191" s="7" t="s">
        <v>857</v>
      </c>
      <c r="I191" s="7" t="str">
        <f>IFERROR(__xludf.DUMMYFUNCTION("regexreplace(lower(C191), ""_"", """")"),"precardiodate")</f>
        <v>precardiodate</v>
      </c>
      <c r="J191" s="9" t="b">
        <f t="shared" si="2"/>
        <v>1</v>
      </c>
      <c r="K191" s="7" t="str">
        <f>IFERROR(__xludf.DUMMYFUNCTION("regexreplace(G191, ""_"", """")"),"precardiodate")</f>
        <v>precardiodate</v>
      </c>
      <c r="L191" s="10"/>
      <c r="M191" s="10"/>
    </row>
    <row r="192">
      <c r="A192" s="10"/>
      <c r="B192" s="7" t="s">
        <v>853</v>
      </c>
      <c r="C192" s="7" t="s">
        <v>858</v>
      </c>
      <c r="D192" s="7" t="s">
        <v>148</v>
      </c>
      <c r="E192" s="10" t="s">
        <v>859</v>
      </c>
      <c r="F192" s="9">
        <f t="shared" si="9"/>
        <v>0</v>
      </c>
      <c r="G192" s="7" t="s">
        <v>860</v>
      </c>
      <c r="H192" s="10"/>
      <c r="I192" s="7" t="str">
        <f>IFERROR(__xludf.DUMMYFUNCTION("regexreplace(lower(C192), ""_"", """")"),"precardiotime")</f>
        <v>precardiotime</v>
      </c>
      <c r="J192" s="9" t="b">
        <f t="shared" si="2"/>
        <v>1</v>
      </c>
      <c r="K192" s="7" t="str">
        <f>IFERROR(__xludf.DUMMYFUNCTION("regexreplace(G192, ""_"", """")"),"precardiotime")</f>
        <v>precardiotime</v>
      </c>
      <c r="L192" s="10"/>
      <c r="M192" s="10"/>
    </row>
    <row r="193">
      <c r="A193" s="10"/>
      <c r="B193" s="7" t="s">
        <v>853</v>
      </c>
      <c r="C193" s="7" t="s">
        <v>861</v>
      </c>
      <c r="D193" s="7" t="s">
        <v>154</v>
      </c>
      <c r="E193" s="10" t="s">
        <v>862</v>
      </c>
      <c r="F193" s="9">
        <f t="shared" si="9"/>
        <v>0</v>
      </c>
      <c r="G193" s="7" t="s">
        <v>863</v>
      </c>
      <c r="H193" s="10"/>
      <c r="I193" s="7" t="str">
        <f>IFERROR(__xludf.DUMMYFUNCTION("regexreplace(lower(C193), ""_"", """")"),"precardiosystolicbloodpressuremmhg")</f>
        <v>precardiosystolicbloodpressuremmhg</v>
      </c>
      <c r="J193" s="9" t="b">
        <f t="shared" si="2"/>
        <v>1</v>
      </c>
      <c r="K193" s="7" t="str">
        <f>IFERROR(__xludf.DUMMYFUNCTION("regexreplace(G193, ""_"", """")"),"precardiosystolicbloodpressuremmhg")</f>
        <v>precardiosystolicbloodpressuremmhg</v>
      </c>
      <c r="L193" s="10"/>
      <c r="M193" s="10"/>
    </row>
    <row r="194">
      <c r="A194" s="10"/>
      <c r="B194" s="7" t="s">
        <v>853</v>
      </c>
      <c r="C194" s="7" t="s">
        <v>864</v>
      </c>
      <c r="D194" s="7" t="s">
        <v>154</v>
      </c>
      <c r="E194" s="10" t="s">
        <v>865</v>
      </c>
      <c r="F194" s="9">
        <f t="shared" si="9"/>
        <v>0</v>
      </c>
      <c r="G194" s="7" t="s">
        <v>866</v>
      </c>
      <c r="H194" s="10"/>
      <c r="I194" s="7" t="str">
        <f>IFERROR(__xludf.DUMMYFUNCTION("regexreplace(lower(C194), ""_"", """")"),"precardiodiastolicbloodpressuremmhg")</f>
        <v>precardiodiastolicbloodpressuremmhg</v>
      </c>
      <c r="J194" s="9" t="b">
        <f t="shared" si="2"/>
        <v>1</v>
      </c>
      <c r="K194" s="7" t="str">
        <f>IFERROR(__xludf.DUMMYFUNCTION("regexreplace(G194, ""_"", """")"),"precardiodiastolicbloodpressuremmhg")</f>
        <v>precardiodiastolicbloodpressuremmhg</v>
      </c>
      <c r="L194" s="10"/>
      <c r="M194" s="10"/>
    </row>
    <row r="195">
      <c r="A195" s="10"/>
      <c r="B195" s="7" t="s">
        <v>853</v>
      </c>
      <c r="C195" s="7" t="s">
        <v>867</v>
      </c>
      <c r="D195" s="7" t="s">
        <v>154</v>
      </c>
      <c r="E195" s="10" t="s">
        <v>868</v>
      </c>
      <c r="F195" s="9">
        <f t="shared" si="9"/>
        <v>0</v>
      </c>
      <c r="G195" s="7" t="s">
        <v>869</v>
      </c>
      <c r="H195" s="10"/>
      <c r="I195" s="7" t="str">
        <f>IFERROR(__xludf.DUMMYFUNCTION("regexreplace(lower(C195), ""_"", """")"),"precardioheartratebpm")</f>
        <v>precardioheartratebpm</v>
      </c>
      <c r="J195" s="9" t="b">
        <f t="shared" si="2"/>
        <v>1</v>
      </c>
      <c r="K195" s="7" t="str">
        <f>IFERROR(__xludf.DUMMYFUNCTION("regexreplace(G195, ""_"", """")"),"precardioheartratebpm")</f>
        <v>precardioheartratebpm</v>
      </c>
      <c r="L195" s="10"/>
      <c r="M195" s="10"/>
    </row>
    <row r="196">
      <c r="A196" s="10"/>
      <c r="B196" s="7" t="s">
        <v>853</v>
      </c>
      <c r="C196" s="7" t="s">
        <v>870</v>
      </c>
      <c r="D196" s="7" t="s">
        <v>43</v>
      </c>
      <c r="E196" s="10" t="s">
        <v>871</v>
      </c>
      <c r="F196" s="9">
        <f t="shared" si="9"/>
        <v>0</v>
      </c>
      <c r="G196" s="7" t="s">
        <v>872</v>
      </c>
      <c r="H196" s="10"/>
      <c r="I196" s="7" t="str">
        <f>IFERROR(__xludf.DUMMYFUNCTION("regexreplace(lower(C196), ""_"", """")"),"precardiovolumeexpand")</f>
        <v>precardiovolumeexpand</v>
      </c>
      <c r="J196" s="9" t="b">
        <f t="shared" si="2"/>
        <v>1</v>
      </c>
      <c r="K196" s="7" t="str">
        <f>IFERROR(__xludf.DUMMYFUNCTION("regexreplace(G196, ""_"", """")"),"precardiovolumeexpand")</f>
        <v>precardiovolumeexpand</v>
      </c>
      <c r="L196" s="10"/>
      <c r="M196" s="10"/>
    </row>
    <row r="197">
      <c r="A197" s="10"/>
      <c r="B197" s="7" t="s">
        <v>853</v>
      </c>
      <c r="C197" s="7" t="s">
        <v>873</v>
      </c>
      <c r="D197" s="7" t="s">
        <v>43</v>
      </c>
      <c r="E197" s="10" t="s">
        <v>874</v>
      </c>
      <c r="F197" s="9">
        <f t="shared" si="9"/>
        <v>0</v>
      </c>
      <c r="G197" s="7" t="s">
        <v>875</v>
      </c>
      <c r="H197" s="10"/>
      <c r="I197" s="7" t="str">
        <f>IFERROR(__xludf.DUMMYFUNCTION("regexreplace(lower(C197), ""_"", """")"),"precardioinotropicagent")</f>
        <v>precardioinotropicagent</v>
      </c>
      <c r="J197" s="9" t="b">
        <f t="shared" si="2"/>
        <v>1</v>
      </c>
      <c r="K197" s="7" t="str">
        <f>IFERROR(__xludf.DUMMYFUNCTION("regexreplace(G197, ""_"", """")"),"precardioinotropicagent")</f>
        <v>precardioinotropicagent</v>
      </c>
      <c r="L197" s="10"/>
      <c r="M197" s="10"/>
    </row>
    <row r="198">
      <c r="A198" s="10"/>
      <c r="B198" s="7" t="s">
        <v>853</v>
      </c>
      <c r="C198" s="7" t="s">
        <v>876</v>
      </c>
      <c r="D198" s="7" t="s">
        <v>43</v>
      </c>
      <c r="E198" s="10" t="s">
        <v>877</v>
      </c>
      <c r="F198" s="9">
        <f t="shared" si="9"/>
        <v>0</v>
      </c>
      <c r="G198" s="7" t="s">
        <v>878</v>
      </c>
      <c r="H198" s="10"/>
      <c r="I198" s="7" t="str">
        <f>IFERROR(__xludf.DUMMYFUNCTION("regexreplace(lower(C198), ""_"", """")"),"precardiobloodtransfusion")</f>
        <v>precardiobloodtransfusion</v>
      </c>
      <c r="J198" s="9" t="b">
        <f t="shared" si="2"/>
        <v>1</v>
      </c>
      <c r="K198" s="7" t="str">
        <f>IFERROR(__xludf.DUMMYFUNCTION("regexreplace(G198, ""_"", """")"),"precardiobloodtransfusion")</f>
        <v>precardiobloodtransfusion</v>
      </c>
      <c r="L198" s="10"/>
      <c r="M198" s="10"/>
    </row>
    <row r="199">
      <c r="A199" s="10"/>
      <c r="B199" s="7" t="s">
        <v>853</v>
      </c>
      <c r="C199" s="7" t="s">
        <v>879</v>
      </c>
      <c r="D199" s="7" t="s">
        <v>43</v>
      </c>
      <c r="E199" s="10" t="s">
        <v>880</v>
      </c>
      <c r="F199" s="9">
        <f t="shared" si="9"/>
        <v>0</v>
      </c>
      <c r="G199" s="7" t="s">
        <v>881</v>
      </c>
      <c r="H199" s="10"/>
      <c r="I199" s="7" t="str">
        <f>IFERROR(__xludf.DUMMYFUNCTION("regexreplace(lower(C199), ""_"", """")"),"precardioplatelets")</f>
        <v>precardioplatelets</v>
      </c>
      <c r="J199" s="9" t="b">
        <f t="shared" si="2"/>
        <v>1</v>
      </c>
      <c r="K199" s="7" t="str">
        <f>IFERROR(__xludf.DUMMYFUNCTION("regexreplace(G199, ""_"", """")"),"precardioplatelets")</f>
        <v>precardioplatelets</v>
      </c>
      <c r="L199" s="10"/>
      <c r="M199" s="10"/>
    </row>
    <row r="200">
      <c r="A200" s="10"/>
      <c r="B200" s="7" t="s">
        <v>853</v>
      </c>
      <c r="C200" s="16" t="s">
        <v>882</v>
      </c>
      <c r="D200" s="7" t="s">
        <v>43</v>
      </c>
      <c r="E200" s="18" t="s">
        <v>883</v>
      </c>
      <c r="F200" s="9">
        <f t="shared" si="9"/>
        <v>1</v>
      </c>
      <c r="G200" s="16" t="s">
        <v>884</v>
      </c>
      <c r="H200" s="10"/>
      <c r="I200" s="7" t="str">
        <f>IFERROR(__xludf.DUMMYFUNCTION("regexreplace(lower(C200), ""_"", """")"),"preinotropicagent")</f>
        <v>preinotropicagent</v>
      </c>
      <c r="J200" s="9" t="b">
        <f t="shared" si="2"/>
        <v>1</v>
      </c>
      <c r="K200" s="7" t="str">
        <f>IFERROR(__xludf.DUMMYFUNCTION("regexreplace(G200, ""_"", """")"),"preinotropicagent")</f>
        <v>preinotropicagent</v>
      </c>
      <c r="L200" s="10"/>
      <c r="M200" s="8" t="s">
        <v>885</v>
      </c>
    </row>
    <row r="201">
      <c r="A201" s="12"/>
      <c r="B201" s="12"/>
      <c r="C201" s="13"/>
      <c r="D201" s="12"/>
      <c r="E201" s="12"/>
      <c r="F201" s="12"/>
      <c r="G201" s="12"/>
      <c r="H201" s="12"/>
      <c r="I201" s="13" t="str">
        <f>IFERROR(__xludf.DUMMYFUNCTION("regexreplace(lower(C201), ""_"", """")"),"")</f>
        <v/>
      </c>
      <c r="J201" s="14" t="str">
        <f t="shared" si="2"/>
        <v/>
      </c>
      <c r="K201" s="13" t="str">
        <f>IFERROR(__xludf.DUMMYFUNCTION("regexreplace(G201, ""_"", """")"),"")</f>
        <v/>
      </c>
      <c r="L201" s="12"/>
      <c r="M201" s="12"/>
    </row>
    <row r="202">
      <c r="A202" s="5" t="s">
        <v>13</v>
      </c>
      <c r="B202" s="7" t="s">
        <v>886</v>
      </c>
      <c r="C202" s="7" t="s">
        <v>887</v>
      </c>
      <c r="D202" s="7" t="s">
        <v>29</v>
      </c>
      <c r="E202" s="15" t="s">
        <v>888</v>
      </c>
      <c r="F202" s="9">
        <f t="shared" ref="F202:F209" si="10">counta(L202:M202)</f>
        <v>0</v>
      </c>
      <c r="G202" s="7" t="s">
        <v>889</v>
      </c>
      <c r="H202" s="7" t="s">
        <v>890</v>
      </c>
      <c r="I202" s="7" t="str">
        <f>IFERROR(__xludf.DUMMYFUNCTION("regexreplace(lower(C202), ""_"", """")"),"prerespiratorydate")</f>
        <v>prerespiratorydate</v>
      </c>
      <c r="J202" s="9" t="b">
        <f t="shared" si="2"/>
        <v>1</v>
      </c>
      <c r="K202" s="7" t="str">
        <f>IFERROR(__xludf.DUMMYFUNCTION("regexreplace(G202, ""_"", """")"),"prerespiratorydate")</f>
        <v>prerespiratorydate</v>
      </c>
      <c r="L202" s="10"/>
      <c r="M202" s="10"/>
    </row>
    <row r="203">
      <c r="A203" s="10"/>
      <c r="B203" s="7" t="s">
        <v>886</v>
      </c>
      <c r="C203" s="7" t="s">
        <v>891</v>
      </c>
      <c r="D203" s="7" t="s">
        <v>148</v>
      </c>
      <c r="E203" s="15" t="s">
        <v>892</v>
      </c>
      <c r="F203" s="9">
        <f t="shared" si="10"/>
        <v>0</v>
      </c>
      <c r="G203" s="7" t="s">
        <v>893</v>
      </c>
      <c r="H203" s="10"/>
      <c r="I203" s="7" t="str">
        <f>IFERROR(__xludf.DUMMYFUNCTION("regexreplace(lower(C203), ""_"", """")"),"prerespiratorytime")</f>
        <v>prerespiratorytime</v>
      </c>
      <c r="J203" s="9" t="b">
        <f t="shared" si="2"/>
        <v>1</v>
      </c>
      <c r="K203" s="7" t="str">
        <f>IFERROR(__xludf.DUMMYFUNCTION("regexreplace(G203, ""_"", """")"),"prerespiratorytime")</f>
        <v>prerespiratorytime</v>
      </c>
      <c r="L203" s="10"/>
      <c r="M203" s="10"/>
    </row>
    <row r="204">
      <c r="A204" s="10"/>
      <c r="B204" s="7" t="s">
        <v>886</v>
      </c>
      <c r="C204" s="7" t="s">
        <v>894</v>
      </c>
      <c r="D204" s="7" t="s">
        <v>895</v>
      </c>
      <c r="E204" s="10" t="s">
        <v>896</v>
      </c>
      <c r="F204" s="9">
        <f t="shared" si="10"/>
        <v>0</v>
      </c>
      <c r="G204" s="7" t="s">
        <v>897</v>
      </c>
      <c r="H204" s="10"/>
      <c r="I204" s="7" t="str">
        <f>IFERROR(__xludf.DUMMYFUNCTION("regexreplace(lower(C204), ""_"", """")"),"prerespiratorysupporttype")</f>
        <v>prerespiratorysupporttype</v>
      </c>
      <c r="J204" s="9" t="b">
        <f t="shared" si="2"/>
        <v>1</v>
      </c>
      <c r="K204" s="7" t="str">
        <f>IFERROR(__xludf.DUMMYFUNCTION("regexreplace(G204, ""_"", """")"),"prerespiratorysupporttype")</f>
        <v>prerespiratorysupporttype</v>
      </c>
      <c r="L204" s="10"/>
      <c r="M204" s="10"/>
    </row>
    <row r="205">
      <c r="A205" s="10"/>
      <c r="B205" s="7" t="s">
        <v>886</v>
      </c>
      <c r="C205" s="7" t="s">
        <v>898</v>
      </c>
      <c r="D205" s="7" t="s">
        <v>154</v>
      </c>
      <c r="E205" s="10" t="s">
        <v>899</v>
      </c>
      <c r="F205" s="9">
        <f t="shared" si="10"/>
        <v>0</v>
      </c>
      <c r="G205" s="7" t="s">
        <v>900</v>
      </c>
      <c r="H205" s="10"/>
      <c r="I205" s="7" t="str">
        <f>IFERROR(__xludf.DUMMYFUNCTION("regexreplace(lower(C205), ""_"", """")"),"prerespiratoryfio2")</f>
        <v>prerespiratoryfio2</v>
      </c>
      <c r="J205" s="9" t="b">
        <f t="shared" si="2"/>
        <v>1</v>
      </c>
      <c r="K205" s="7" t="str">
        <f>IFERROR(__xludf.DUMMYFUNCTION("regexreplace(G205, ""_"", """")"),"prerespiratoryfio2")</f>
        <v>prerespiratoryfio2</v>
      </c>
      <c r="L205" s="10"/>
      <c r="M205" s="10"/>
    </row>
    <row r="206">
      <c r="A206" s="10"/>
      <c r="B206" s="7" t="s">
        <v>886</v>
      </c>
      <c r="C206" s="7" t="s">
        <v>901</v>
      </c>
      <c r="D206" s="7" t="s">
        <v>154</v>
      </c>
      <c r="E206" s="10" t="s">
        <v>902</v>
      </c>
      <c r="F206" s="9">
        <f t="shared" si="10"/>
        <v>0</v>
      </c>
      <c r="G206" s="7" t="s">
        <v>903</v>
      </c>
      <c r="H206" s="10"/>
      <c r="I206" s="7" t="str">
        <f>IFERROR(__xludf.DUMMYFUNCTION("regexreplace(lower(C206), ""_"", """")"),"prerespiratoryratehz")</f>
        <v>prerespiratoryratehz</v>
      </c>
      <c r="J206" s="9" t="b">
        <f t="shared" si="2"/>
        <v>1</v>
      </c>
      <c r="K206" s="7" t="str">
        <f>IFERROR(__xludf.DUMMYFUNCTION("regexreplace(G206, ""_"", """")"),"prerespiratoryratehz")</f>
        <v>prerespiratoryratehz</v>
      </c>
      <c r="L206" s="10"/>
      <c r="M206" s="10"/>
    </row>
    <row r="207">
      <c r="A207" s="10"/>
      <c r="B207" s="7" t="s">
        <v>886</v>
      </c>
      <c r="C207" s="7" t="s">
        <v>904</v>
      </c>
      <c r="D207" s="7" t="s">
        <v>154</v>
      </c>
      <c r="E207" s="10" t="s">
        <v>905</v>
      </c>
      <c r="F207" s="9">
        <f t="shared" si="10"/>
        <v>0</v>
      </c>
      <c r="G207" s="7" t="s">
        <v>906</v>
      </c>
      <c r="H207" s="10"/>
      <c r="I207" s="7" t="str">
        <f>IFERROR(__xludf.DUMMYFUNCTION("regexreplace(lower(C207), ""_"", """")"),"prerespiratorypipcmh2o")</f>
        <v>prerespiratorypipcmh2o</v>
      </c>
      <c r="J207" s="9" t="b">
        <f t="shared" si="2"/>
        <v>1</v>
      </c>
      <c r="K207" s="7" t="str">
        <f>IFERROR(__xludf.DUMMYFUNCTION("regexreplace(G207, ""_"", """")"),"prerespiratorypipcmh2o")</f>
        <v>prerespiratorypipcmh2o</v>
      </c>
      <c r="L207" s="10"/>
      <c r="M207" s="10"/>
    </row>
    <row r="208">
      <c r="A208" s="10"/>
      <c r="B208" s="7" t="s">
        <v>886</v>
      </c>
      <c r="C208" s="7" t="s">
        <v>907</v>
      </c>
      <c r="D208" s="7" t="s">
        <v>154</v>
      </c>
      <c r="E208" s="10" t="s">
        <v>908</v>
      </c>
      <c r="F208" s="9">
        <f t="shared" si="10"/>
        <v>0</v>
      </c>
      <c r="G208" s="7" t="s">
        <v>909</v>
      </c>
      <c r="H208" s="10"/>
      <c r="I208" s="7" t="str">
        <f>IFERROR(__xludf.DUMMYFUNCTION("regexreplace(lower(C208), ""_"", """")"),"prerespiratorymapcmh2o")</f>
        <v>prerespiratorymapcmh2o</v>
      </c>
      <c r="J208" s="9" t="b">
        <f t="shared" si="2"/>
        <v>1</v>
      </c>
      <c r="K208" s="7" t="str">
        <f>IFERROR(__xludf.DUMMYFUNCTION("regexreplace(G208, ""_"", """")"),"prerespiratorymapcmh2o")</f>
        <v>prerespiratorymapcmh2o</v>
      </c>
      <c r="L208" s="10"/>
      <c r="M208" s="10"/>
    </row>
    <row r="209">
      <c r="A209" s="10"/>
      <c r="B209" s="7" t="s">
        <v>886</v>
      </c>
      <c r="C209" s="7" t="s">
        <v>910</v>
      </c>
      <c r="D209" s="7" t="s">
        <v>154</v>
      </c>
      <c r="E209" s="10" t="s">
        <v>911</v>
      </c>
      <c r="F209" s="9">
        <f t="shared" si="10"/>
        <v>0</v>
      </c>
      <c r="G209" s="7" t="s">
        <v>912</v>
      </c>
      <c r="H209" s="10"/>
      <c r="I209" s="7" t="str">
        <f>IFERROR(__xludf.DUMMYFUNCTION("regexreplace(lower(C209), ""_"", """")"),"prerespiratorypeepcmh2o")</f>
        <v>prerespiratorypeepcmh2o</v>
      </c>
      <c r="J209" s="9" t="b">
        <f t="shared" si="2"/>
        <v>1</v>
      </c>
      <c r="K209" s="7" t="str">
        <f>IFERROR(__xludf.DUMMYFUNCTION("regexreplace(G209, ""_"", """")"),"prerespiratorypeepcmh2o")</f>
        <v>prerespiratorypeepcmh2o</v>
      </c>
      <c r="L209" s="10"/>
      <c r="M209" s="10"/>
    </row>
    <row r="210">
      <c r="A210" s="12"/>
      <c r="B210" s="12"/>
      <c r="C210" s="13"/>
      <c r="D210" s="12"/>
      <c r="E210" s="12"/>
      <c r="F210" s="12"/>
      <c r="G210" s="12" t="s">
        <v>913</v>
      </c>
      <c r="H210" s="12"/>
      <c r="I210" s="13" t="str">
        <f>IFERROR(__xludf.DUMMYFUNCTION("regexreplace(lower(C210), ""_"", """")"),"")</f>
        <v/>
      </c>
      <c r="J210" s="14" t="str">
        <f t="shared" si="2"/>
        <v/>
      </c>
      <c r="K210" s="13" t="str">
        <f>IFERROR(__xludf.DUMMYFUNCTION("regexreplace(G210, ""_"", """")"),"")</f>
        <v/>
      </c>
      <c r="L210" s="12"/>
      <c r="M210" s="12"/>
    </row>
    <row r="211">
      <c r="A211" s="5" t="s">
        <v>13</v>
      </c>
      <c r="B211" s="7" t="s">
        <v>914</v>
      </c>
      <c r="C211" s="7" t="s">
        <v>915</v>
      </c>
      <c r="D211" s="7" t="s">
        <v>29</v>
      </c>
      <c r="E211" s="10" t="s">
        <v>916</v>
      </c>
      <c r="F211" s="9">
        <f t="shared" ref="F211:F223" si="11">counta(L211:M211)</f>
        <v>0</v>
      </c>
      <c r="G211" s="7" t="s">
        <v>917</v>
      </c>
      <c r="H211" s="7" t="s">
        <v>890</v>
      </c>
      <c r="I211" s="7" t="str">
        <f>IFERROR(__xludf.DUMMYFUNCTION("regexreplace(lower(C211), ""_"", """")"),"prebloodgasdate")</f>
        <v>prebloodgasdate</v>
      </c>
      <c r="J211" s="9" t="b">
        <f t="shared" si="2"/>
        <v>1</v>
      </c>
      <c r="K211" s="7" t="str">
        <f>IFERROR(__xludf.DUMMYFUNCTION("regexreplace(G211, ""_"", """")"),"prebloodgasdate")</f>
        <v>prebloodgasdate</v>
      </c>
      <c r="L211" s="10"/>
      <c r="M211" s="10"/>
    </row>
    <row r="212">
      <c r="A212" s="10"/>
      <c r="B212" s="7" t="s">
        <v>914</v>
      </c>
      <c r="C212" s="7" t="s">
        <v>918</v>
      </c>
      <c r="D212" s="7" t="s">
        <v>148</v>
      </c>
      <c r="E212" s="10" t="s">
        <v>919</v>
      </c>
      <c r="F212" s="9">
        <f t="shared" si="11"/>
        <v>0</v>
      </c>
      <c r="G212" s="7" t="s">
        <v>920</v>
      </c>
      <c r="H212" s="10"/>
      <c r="I212" s="7" t="str">
        <f>IFERROR(__xludf.DUMMYFUNCTION("regexreplace(lower(C212), ""_"", """")"),"prebloodgastime")</f>
        <v>prebloodgastime</v>
      </c>
      <c r="J212" s="9" t="b">
        <f t="shared" si="2"/>
        <v>1</v>
      </c>
      <c r="K212" s="7" t="str">
        <f>IFERROR(__xludf.DUMMYFUNCTION("regexreplace(G212, ""_"", """")"),"prebloodgastime")</f>
        <v>prebloodgastime</v>
      </c>
      <c r="L212" s="10"/>
      <c r="M212" s="10"/>
    </row>
    <row r="213">
      <c r="A213" s="10"/>
      <c r="B213" s="7" t="s">
        <v>914</v>
      </c>
      <c r="C213" s="7" t="s">
        <v>921</v>
      </c>
      <c r="D213" s="7" t="s">
        <v>690</v>
      </c>
      <c r="E213" s="10"/>
      <c r="F213" s="9">
        <f t="shared" si="11"/>
        <v>0</v>
      </c>
      <c r="G213" s="7" t="s">
        <v>922</v>
      </c>
      <c r="H213" s="10"/>
      <c r="I213" s="7" t="str">
        <f>IFERROR(__xludf.DUMMYFUNCTION("regexreplace(lower(C213), ""_"", """")"),"prebloodgassrc")</f>
        <v>prebloodgassrc</v>
      </c>
      <c r="J213" s="9" t="b">
        <f t="shared" si="2"/>
        <v>1</v>
      </c>
      <c r="K213" s="7" t="str">
        <f>IFERROR(__xludf.DUMMYFUNCTION("regexreplace(G213, ""_"", """")"),"prebloodgassrc")</f>
        <v>prebloodgassrc</v>
      </c>
      <c r="L213" s="10"/>
      <c r="M213" s="10"/>
    </row>
    <row r="214">
      <c r="A214" s="10"/>
      <c r="B214" s="7" t="s">
        <v>914</v>
      </c>
      <c r="C214" s="7" t="s">
        <v>923</v>
      </c>
      <c r="D214" s="7" t="s">
        <v>154</v>
      </c>
      <c r="E214" s="10" t="s">
        <v>924</v>
      </c>
      <c r="F214" s="9">
        <f t="shared" si="11"/>
        <v>0</v>
      </c>
      <c r="G214" s="7" t="s">
        <v>925</v>
      </c>
      <c r="H214" s="10"/>
      <c r="I214" s="7" t="str">
        <f>IFERROR(__xludf.DUMMYFUNCTION("regexreplace(lower(C214), ""_"", """")"),"prebloodgasph")</f>
        <v>prebloodgasph</v>
      </c>
      <c r="J214" s="9" t="b">
        <f t="shared" si="2"/>
        <v>1</v>
      </c>
      <c r="K214" s="7" t="str">
        <f>IFERROR(__xludf.DUMMYFUNCTION("regexreplace(G214, ""_"", """")"),"prebloodgasph")</f>
        <v>prebloodgasph</v>
      </c>
      <c r="L214" s="10"/>
      <c r="M214" s="10"/>
    </row>
    <row r="215">
      <c r="A215" s="10"/>
      <c r="B215" s="7" t="s">
        <v>914</v>
      </c>
      <c r="C215" s="7" t="s">
        <v>926</v>
      </c>
      <c r="D215" s="7" t="s">
        <v>154</v>
      </c>
      <c r="E215" s="10" t="s">
        <v>927</v>
      </c>
      <c r="F215" s="9">
        <f t="shared" si="11"/>
        <v>0</v>
      </c>
      <c r="G215" s="7" t="s">
        <v>928</v>
      </c>
      <c r="H215" s="10"/>
      <c r="I215" s="7" t="str">
        <f>IFERROR(__xludf.DUMMYFUNCTION("regexreplace(lower(C215), ""_"", """")"),"prebloodgaspco2mmhg")</f>
        <v>prebloodgaspco2mmhg</v>
      </c>
      <c r="J215" s="9" t="b">
        <f t="shared" si="2"/>
        <v>1</v>
      </c>
      <c r="K215" s="7" t="str">
        <f>IFERROR(__xludf.DUMMYFUNCTION("regexreplace(G215, ""_"", """")"),"prebloodgaspco2mmhg")</f>
        <v>prebloodgaspco2mmhg</v>
      </c>
      <c r="L215" s="10"/>
      <c r="M215" s="10"/>
    </row>
    <row r="216">
      <c r="A216" s="10"/>
      <c r="B216" s="7" t="s">
        <v>914</v>
      </c>
      <c r="C216" s="7" t="s">
        <v>929</v>
      </c>
      <c r="D216" s="7" t="s">
        <v>154</v>
      </c>
      <c r="E216" s="10" t="s">
        <v>930</v>
      </c>
      <c r="F216" s="9">
        <f t="shared" si="11"/>
        <v>0</v>
      </c>
      <c r="G216" s="7" t="s">
        <v>931</v>
      </c>
      <c r="H216" s="10"/>
      <c r="I216" s="7" t="str">
        <f>IFERROR(__xludf.DUMMYFUNCTION("regexreplace(lower(C216), ""_"", """")"),"prebloodgaspo2mmhg")</f>
        <v>prebloodgaspo2mmhg</v>
      </c>
      <c r="J216" s="9" t="b">
        <f t="shared" si="2"/>
        <v>1</v>
      </c>
      <c r="K216" s="7" t="str">
        <f>IFERROR(__xludf.DUMMYFUNCTION("regexreplace(G216, ""_"", """")"),"prebloodgaspo2mmhg")</f>
        <v>prebloodgaspo2mmhg</v>
      </c>
      <c r="L216" s="10"/>
      <c r="M216" s="10"/>
    </row>
    <row r="217">
      <c r="A217" s="10"/>
      <c r="B217" s="7" t="s">
        <v>914</v>
      </c>
      <c r="C217" s="7" t="s">
        <v>932</v>
      </c>
      <c r="D217" s="7" t="s">
        <v>154</v>
      </c>
      <c r="E217" s="10" t="s">
        <v>933</v>
      </c>
      <c r="F217" s="9">
        <f t="shared" si="11"/>
        <v>0</v>
      </c>
      <c r="G217" s="7" t="s">
        <v>934</v>
      </c>
      <c r="H217" s="10"/>
      <c r="I217" s="7" t="str">
        <f>IFERROR(__xludf.DUMMYFUNCTION("regexreplace(lower(C217), ""_"", """")"),"prebloodgashco3meqperl")</f>
        <v>prebloodgashco3meqperl</v>
      </c>
      <c r="J217" s="9" t="b">
        <f t="shared" si="2"/>
        <v>1</v>
      </c>
      <c r="K217" s="7" t="str">
        <f>IFERROR(__xludf.DUMMYFUNCTION("regexreplace(G217, ""_"", """")"),"prebloodgashco3meqperl")</f>
        <v>prebloodgashco3meqperl</v>
      </c>
      <c r="L217" s="10"/>
      <c r="M217" s="10"/>
    </row>
    <row r="218">
      <c r="A218" s="10"/>
      <c r="B218" s="7" t="s">
        <v>914</v>
      </c>
      <c r="C218" s="7" t="s">
        <v>935</v>
      </c>
      <c r="D218" s="7" t="s">
        <v>154</v>
      </c>
      <c r="E218" s="10" t="s">
        <v>936</v>
      </c>
      <c r="F218" s="9">
        <f t="shared" si="11"/>
        <v>0</v>
      </c>
      <c r="G218" s="7" t="s">
        <v>937</v>
      </c>
      <c r="H218" s="10"/>
      <c r="I218" s="7" t="str">
        <f>IFERROR(__xludf.DUMMYFUNCTION("regexreplace(lower(C218), ""_"", """")"),"prebloodgasbasedeficitmeqperl")</f>
        <v>prebloodgasbasedeficitmeqperl</v>
      </c>
      <c r="J218" s="9" t="b">
        <f t="shared" si="2"/>
        <v>1</v>
      </c>
      <c r="K218" s="7" t="str">
        <f>IFERROR(__xludf.DUMMYFUNCTION("regexreplace(G218, ""_"", """")"),"prebloodgasbasedeficitmeqperl")</f>
        <v>prebloodgasbasedeficitmeqperl</v>
      </c>
      <c r="L218" s="10"/>
      <c r="M218" s="10"/>
    </row>
    <row r="219">
      <c r="A219" s="10"/>
      <c r="B219" s="7" t="s">
        <v>914</v>
      </c>
      <c r="C219" s="7" t="s">
        <v>938</v>
      </c>
      <c r="D219" s="7" t="s">
        <v>154</v>
      </c>
      <c r="E219" s="10" t="s">
        <v>939</v>
      </c>
      <c r="F219" s="9">
        <f t="shared" si="11"/>
        <v>0</v>
      </c>
      <c r="G219" s="7" t="s">
        <v>940</v>
      </c>
      <c r="H219" s="10"/>
      <c r="I219" s="7" t="str">
        <f>IFERROR(__xludf.DUMMYFUNCTION("regexreplace(lower(C219), ""_"", """")"),"prebloodgasphcorrect")</f>
        <v>prebloodgasphcorrect</v>
      </c>
      <c r="J219" s="9" t="b">
        <f t="shared" si="2"/>
        <v>1</v>
      </c>
      <c r="K219" s="7" t="str">
        <f>IFERROR(__xludf.DUMMYFUNCTION("regexreplace(G219, ""_"", """")"),"prebloodgasphcorrect")</f>
        <v>prebloodgasphcorrect</v>
      </c>
      <c r="L219" s="10"/>
      <c r="M219" s="10"/>
    </row>
    <row r="220">
      <c r="A220" s="10"/>
      <c r="B220" s="7" t="s">
        <v>914</v>
      </c>
      <c r="C220" s="7" t="s">
        <v>941</v>
      </c>
      <c r="D220" s="7" t="s">
        <v>154</v>
      </c>
      <c r="E220" s="10" t="s">
        <v>942</v>
      </c>
      <c r="F220" s="9">
        <f t="shared" si="11"/>
        <v>0</v>
      </c>
      <c r="G220" s="7" t="s">
        <v>943</v>
      </c>
      <c r="H220" s="10"/>
      <c r="I220" s="7" t="str">
        <f>IFERROR(__xludf.DUMMYFUNCTION("regexreplace(lower(C220), ""_"", """")"),"prebloodgaspco2correctmmhg")</f>
        <v>prebloodgaspco2correctmmhg</v>
      </c>
      <c r="J220" s="9" t="b">
        <f t="shared" si="2"/>
        <v>1</v>
      </c>
      <c r="K220" s="7" t="str">
        <f>IFERROR(__xludf.DUMMYFUNCTION("regexreplace(G220, ""_"", """")"),"prebloodgaspco2correctmmhg")</f>
        <v>prebloodgaspco2correctmmhg</v>
      </c>
      <c r="L220" s="10"/>
      <c r="M220" s="10"/>
    </row>
    <row r="221">
      <c r="A221" s="10"/>
      <c r="B221" s="7" t="s">
        <v>914</v>
      </c>
      <c r="C221" s="7" t="s">
        <v>944</v>
      </c>
      <c r="D221" s="7" t="s">
        <v>154</v>
      </c>
      <c r="E221" s="10" t="s">
        <v>945</v>
      </c>
      <c r="F221" s="9">
        <f t="shared" si="11"/>
        <v>0</v>
      </c>
      <c r="G221" s="7" t="s">
        <v>946</v>
      </c>
      <c r="H221" s="10"/>
      <c r="I221" s="7" t="str">
        <f>IFERROR(__xludf.DUMMYFUNCTION("regexreplace(lower(C221), ""_"", """")"),"prebloodgaspo2correctmmhg")</f>
        <v>prebloodgaspo2correctmmhg</v>
      </c>
      <c r="J221" s="9" t="b">
        <f t="shared" si="2"/>
        <v>1</v>
      </c>
      <c r="K221" s="7" t="str">
        <f>IFERROR(__xludf.DUMMYFUNCTION("regexreplace(G221, ""_"", """")"),"prebloodgaspo2correctmmhg")</f>
        <v>prebloodgaspo2correctmmhg</v>
      </c>
      <c r="L221" s="10"/>
      <c r="M221" s="10"/>
    </row>
    <row r="222">
      <c r="A222" s="10"/>
      <c r="B222" s="7" t="s">
        <v>914</v>
      </c>
      <c r="C222" s="7" t="s">
        <v>947</v>
      </c>
      <c r="D222" s="7" t="s">
        <v>154</v>
      </c>
      <c r="E222" s="10" t="s">
        <v>948</v>
      </c>
      <c r="F222" s="9">
        <f t="shared" si="11"/>
        <v>0</v>
      </c>
      <c r="G222" s="7" t="s">
        <v>949</v>
      </c>
      <c r="H222" s="10"/>
      <c r="I222" s="7" t="str">
        <f>IFERROR(__xludf.DUMMYFUNCTION("regexreplace(lower(C222), ""_"", """")"),"prebloodgashco3correctmeqperl")</f>
        <v>prebloodgashco3correctmeqperl</v>
      </c>
      <c r="J222" s="9" t="b">
        <f t="shared" si="2"/>
        <v>1</v>
      </c>
      <c r="K222" s="7" t="str">
        <f>IFERROR(__xludf.DUMMYFUNCTION("regexreplace(G222, ""_"", """")"),"prebloodgashco3correctmeqperl")</f>
        <v>prebloodgashco3correctmeqperl</v>
      </c>
      <c r="L222" s="10"/>
      <c r="M222" s="10"/>
    </row>
    <row r="223">
      <c r="A223" s="10"/>
      <c r="B223" s="7" t="s">
        <v>914</v>
      </c>
      <c r="C223" s="7" t="s">
        <v>950</v>
      </c>
      <c r="D223" s="7" t="s">
        <v>154</v>
      </c>
      <c r="E223" s="10" t="s">
        <v>951</v>
      </c>
      <c r="F223" s="9">
        <f t="shared" si="11"/>
        <v>0</v>
      </c>
      <c r="G223" s="7" t="s">
        <v>952</v>
      </c>
      <c r="H223" s="10"/>
      <c r="I223" s="7" t="str">
        <f>IFERROR(__xludf.DUMMYFUNCTION("regexreplace(lower(C223), ""_"", """")"),"prebloodgasbasedeficitcorrectmeqperl")</f>
        <v>prebloodgasbasedeficitcorrectmeqperl</v>
      </c>
      <c r="J223" s="9" t="b">
        <f t="shared" si="2"/>
        <v>1</v>
      </c>
      <c r="K223" s="7" t="str">
        <f>IFERROR(__xludf.DUMMYFUNCTION("regexreplace(G223, ""_"", """")"),"prebloodgasbasedeficitcorrectmeqperl")</f>
        <v>prebloodgasbasedeficitcorrectmeqperl</v>
      </c>
      <c r="L223" s="10"/>
      <c r="M223" s="10"/>
    </row>
    <row r="224">
      <c r="A224" s="12"/>
      <c r="B224" s="12"/>
      <c r="C224" s="13"/>
      <c r="D224" s="12"/>
      <c r="E224" s="12"/>
      <c r="F224" s="12"/>
      <c r="G224" s="12"/>
      <c r="H224" s="12"/>
      <c r="I224" s="13" t="str">
        <f>IFERROR(__xludf.DUMMYFUNCTION("regexreplace(lower(C224), ""_"", """")"),"")</f>
        <v/>
      </c>
      <c r="J224" s="14" t="str">
        <f t="shared" si="2"/>
        <v/>
      </c>
      <c r="K224" s="13" t="str">
        <f>IFERROR(__xludf.DUMMYFUNCTION("regexreplace(G224, ""_"", """")"),"")</f>
        <v/>
      </c>
      <c r="L224" s="12"/>
      <c r="M224" s="12"/>
    </row>
    <row r="225">
      <c r="A225" s="5" t="s">
        <v>13</v>
      </c>
      <c r="B225" s="7" t="s">
        <v>953</v>
      </c>
      <c r="C225" s="7" t="s">
        <v>954</v>
      </c>
      <c r="D225" s="7" t="s">
        <v>43</v>
      </c>
      <c r="E225" s="10" t="s">
        <v>955</v>
      </c>
      <c r="F225" s="9">
        <f t="shared" ref="F225:F235" si="12">counta(L225:M225)</f>
        <v>0</v>
      </c>
      <c r="G225" s="7" t="s">
        <v>956</v>
      </c>
      <c r="H225" s="7" t="s">
        <v>890</v>
      </c>
      <c r="I225" s="7" t="str">
        <f>IFERROR(__xludf.DUMMYFUNCTION("regexreplace(lower(C225), ""_"", """")"),"prehematology")</f>
        <v>prehematology</v>
      </c>
      <c r="J225" s="9" t="b">
        <f t="shared" si="2"/>
        <v>1</v>
      </c>
      <c r="K225" s="7" t="str">
        <f>IFERROR(__xludf.DUMMYFUNCTION("regexreplace(G225, ""_"", """")"),"prehematology")</f>
        <v>prehematology</v>
      </c>
      <c r="L225" s="10"/>
      <c r="M225" s="10"/>
    </row>
    <row r="226">
      <c r="A226" s="10"/>
      <c r="B226" s="7" t="s">
        <v>953</v>
      </c>
      <c r="C226" s="7" t="s">
        <v>957</v>
      </c>
      <c r="D226" s="7" t="s">
        <v>29</v>
      </c>
      <c r="E226" s="10" t="s">
        <v>958</v>
      </c>
      <c r="F226" s="9">
        <f t="shared" si="12"/>
        <v>0</v>
      </c>
      <c r="G226" s="7" t="s">
        <v>959</v>
      </c>
      <c r="H226" s="10"/>
      <c r="I226" s="7" t="str">
        <f>IFERROR(__xludf.DUMMYFUNCTION("regexreplace(lower(C226), ""_"", """")"),"prehematologydate")</f>
        <v>prehematologydate</v>
      </c>
      <c r="J226" s="9" t="b">
        <f t="shared" si="2"/>
        <v>1</v>
      </c>
      <c r="K226" s="7" t="str">
        <f>IFERROR(__xludf.DUMMYFUNCTION("regexreplace(G226, ""_"", """")"),"prehematologydate")</f>
        <v>prehematologydate</v>
      </c>
      <c r="L226" s="10"/>
      <c r="M226" s="10"/>
    </row>
    <row r="227">
      <c r="A227" s="10"/>
      <c r="B227" s="7" t="s">
        <v>953</v>
      </c>
      <c r="C227" s="7" t="s">
        <v>960</v>
      </c>
      <c r="D227" s="7" t="s">
        <v>148</v>
      </c>
      <c r="E227" s="10" t="s">
        <v>961</v>
      </c>
      <c r="F227" s="9">
        <f t="shared" si="12"/>
        <v>0</v>
      </c>
      <c r="G227" s="7" t="s">
        <v>962</v>
      </c>
      <c r="H227" s="10"/>
      <c r="I227" s="7" t="str">
        <f>IFERROR(__xludf.DUMMYFUNCTION("regexreplace(lower(C227), ""_"", """")"),"prehematologytime")</f>
        <v>prehematologytime</v>
      </c>
      <c r="J227" s="9" t="b">
        <f t="shared" si="2"/>
        <v>1</v>
      </c>
      <c r="K227" s="7" t="str">
        <f>IFERROR(__xludf.DUMMYFUNCTION("regexreplace(G227, ""_"", """")"),"prehematologytime")</f>
        <v>prehematologytime</v>
      </c>
      <c r="L227" s="10"/>
      <c r="M227" s="10"/>
    </row>
    <row r="228">
      <c r="A228" s="10"/>
      <c r="B228" s="7" t="s">
        <v>953</v>
      </c>
      <c r="C228" s="16" t="s">
        <v>963</v>
      </c>
      <c r="D228" s="7" t="s">
        <v>154</v>
      </c>
      <c r="E228" s="10" t="s">
        <v>964</v>
      </c>
      <c r="F228" s="9">
        <f t="shared" si="12"/>
        <v>0</v>
      </c>
      <c r="G228" s="16" t="s">
        <v>965</v>
      </c>
      <c r="H228" s="10"/>
      <c r="I228" s="7" t="str">
        <f>IFERROR(__xludf.DUMMYFUNCTION("regexreplace(lower(C228), ""_"", """")"),"prehematologywbccpermul")</f>
        <v>prehematologywbccpermul</v>
      </c>
      <c r="J228" s="9" t="b">
        <f t="shared" si="2"/>
        <v>1</v>
      </c>
      <c r="K228" s="7" t="str">
        <f>IFERROR(__xludf.DUMMYFUNCTION("regexreplace(G228, ""_"", """")"),"prehematologywbccpermul")</f>
        <v>prehematologywbccpermul</v>
      </c>
      <c r="L228" s="10"/>
      <c r="M228" s="10"/>
    </row>
    <row r="229">
      <c r="A229" s="10"/>
      <c r="B229" s="7" t="s">
        <v>953</v>
      </c>
      <c r="C229" s="16" t="s">
        <v>966</v>
      </c>
      <c r="D229" s="7" t="s">
        <v>154</v>
      </c>
      <c r="E229" s="10" t="s">
        <v>967</v>
      </c>
      <c r="F229" s="9">
        <f t="shared" si="12"/>
        <v>0</v>
      </c>
      <c r="G229" s="16" t="s">
        <v>968</v>
      </c>
      <c r="H229" s="10"/>
      <c r="I229" s="7" t="str">
        <f>IFERROR(__xludf.DUMMYFUNCTION("regexreplace(lower(C229), ""_"", """")"),"prehematologyhemoglobingperdl")</f>
        <v>prehematologyhemoglobingperdl</v>
      </c>
      <c r="J229" s="9" t="b">
        <f t="shared" si="2"/>
        <v>1</v>
      </c>
      <c r="K229" s="7" t="str">
        <f>IFERROR(__xludf.DUMMYFUNCTION("regexreplace(G229, ""_"", """")"),"prehematologyhemoglobingperdl")</f>
        <v>prehematologyhemoglobingperdl</v>
      </c>
      <c r="L229" s="10"/>
      <c r="M229" s="10"/>
    </row>
    <row r="230">
      <c r="A230" s="10"/>
      <c r="B230" s="7" t="s">
        <v>953</v>
      </c>
      <c r="C230" s="16" t="s">
        <v>969</v>
      </c>
      <c r="D230" s="7" t="s">
        <v>154</v>
      </c>
      <c r="E230" s="10" t="s">
        <v>970</v>
      </c>
      <c r="F230" s="9">
        <f t="shared" si="12"/>
        <v>0</v>
      </c>
      <c r="G230" s="16" t="s">
        <v>971</v>
      </c>
      <c r="H230" s="10"/>
      <c r="I230" s="7" t="str">
        <f>IFERROR(__xludf.DUMMYFUNCTION("regexreplace(lower(C230), ""_"", """")"),"prehematologypolymorphneutrophilscpermul")</f>
        <v>prehematologypolymorphneutrophilscpermul</v>
      </c>
      <c r="J230" s="9" t="b">
        <f t="shared" si="2"/>
        <v>1</v>
      </c>
      <c r="K230" s="7" t="str">
        <f>IFERROR(__xludf.DUMMYFUNCTION("regexreplace(G230, ""_"", """")"),"prehematologypolymorphneutrophilscpermul")</f>
        <v>prehematologypolymorphneutrophilscpermul</v>
      </c>
      <c r="L230" s="10"/>
      <c r="M230" s="10"/>
    </row>
    <row r="231">
      <c r="A231" s="10"/>
      <c r="B231" s="7" t="s">
        <v>953</v>
      </c>
      <c r="C231" s="16" t="s">
        <v>972</v>
      </c>
      <c r="D231" s="7" t="s">
        <v>154</v>
      </c>
      <c r="E231" s="10" t="s">
        <v>973</v>
      </c>
      <c r="F231" s="9">
        <f t="shared" si="12"/>
        <v>0</v>
      </c>
      <c r="G231" s="16" t="s">
        <v>974</v>
      </c>
      <c r="H231" s="10"/>
      <c r="I231" s="7" t="str">
        <f>IFERROR(__xludf.DUMMYFUNCTION("regexreplace(lower(C231), ""_"", """")"),"prehematologymonocytescpermul")</f>
        <v>prehematologymonocytescpermul</v>
      </c>
      <c r="J231" s="9" t="b">
        <f t="shared" si="2"/>
        <v>1</v>
      </c>
      <c r="K231" s="7" t="str">
        <f>IFERROR(__xludf.DUMMYFUNCTION("regexreplace(G231, ""_"", """")"),"prehematologymonocytescpermul")</f>
        <v>prehematologymonocytescpermul</v>
      </c>
      <c r="L231" s="10"/>
      <c r="M231" s="10"/>
    </row>
    <row r="232">
      <c r="A232" s="10"/>
      <c r="B232" s="7" t="s">
        <v>953</v>
      </c>
      <c r="C232" s="16" t="s">
        <v>975</v>
      </c>
      <c r="D232" s="7" t="s">
        <v>154</v>
      </c>
      <c r="E232" s="10" t="s">
        <v>976</v>
      </c>
      <c r="F232" s="9">
        <f t="shared" si="12"/>
        <v>0</v>
      </c>
      <c r="G232" s="16" t="s">
        <v>977</v>
      </c>
      <c r="H232" s="10"/>
      <c r="I232" s="7" t="str">
        <f>IFERROR(__xludf.DUMMYFUNCTION("regexreplace(lower(C232), ""_"", """")"),"prehematologylymphocytescpermul")</f>
        <v>prehematologylymphocytescpermul</v>
      </c>
      <c r="J232" s="9" t="b">
        <f t="shared" si="2"/>
        <v>1</v>
      </c>
      <c r="K232" s="7" t="str">
        <f>IFERROR(__xludf.DUMMYFUNCTION("regexreplace(G232, ""_"", """")"),"prehematologylymphocytescpermul")</f>
        <v>prehematologylymphocytescpermul</v>
      </c>
      <c r="L232" s="10"/>
      <c r="M232" s="10"/>
    </row>
    <row r="233">
      <c r="A233" s="10"/>
      <c r="B233" s="7" t="s">
        <v>953</v>
      </c>
      <c r="C233" s="16" t="s">
        <v>978</v>
      </c>
      <c r="D233" s="7" t="s">
        <v>154</v>
      </c>
      <c r="E233" s="10" t="s">
        <v>979</v>
      </c>
      <c r="F233" s="9">
        <f t="shared" si="12"/>
        <v>0</v>
      </c>
      <c r="G233" s="16" t="s">
        <v>980</v>
      </c>
      <c r="H233" s="10"/>
      <c r="I233" s="7" t="str">
        <f>IFERROR(__xludf.DUMMYFUNCTION("regexreplace(lower(C233), ""_"", """")"),"prehematologyplateletcountcpermul")</f>
        <v>prehematologyplateletcountcpermul</v>
      </c>
      <c r="J233" s="9" t="b">
        <f t="shared" si="2"/>
        <v>1</v>
      </c>
      <c r="K233" s="7" t="str">
        <f>IFERROR(__xludf.DUMMYFUNCTION("regexreplace(G233, ""_"", """")"),"prehematologyplateletcountcpermul")</f>
        <v>prehematologyplateletcountcpermul</v>
      </c>
      <c r="L233" s="10"/>
      <c r="M233" s="10"/>
    </row>
    <row r="234">
      <c r="A234" s="10"/>
      <c r="B234" s="7" t="s">
        <v>953</v>
      </c>
      <c r="C234" s="7" t="s">
        <v>981</v>
      </c>
      <c r="D234" s="7" t="s">
        <v>154</v>
      </c>
      <c r="E234" s="10" t="s">
        <v>982</v>
      </c>
      <c r="F234" s="9">
        <f t="shared" si="12"/>
        <v>0</v>
      </c>
      <c r="G234" s="7" t="s">
        <v>983</v>
      </c>
      <c r="H234" s="10"/>
      <c r="I234" s="7" t="str">
        <f>IFERROR(__xludf.DUMMYFUNCTION("regexreplace(lower(C234), ""_"", """")"),"prehematologypts")</f>
        <v>prehematologypts</v>
      </c>
      <c r="J234" s="9" t="b">
        <f t="shared" si="2"/>
        <v>1</v>
      </c>
      <c r="K234" s="7" t="str">
        <f>IFERROR(__xludf.DUMMYFUNCTION("regexreplace(G234, ""_"", """")"),"prehematologypts")</f>
        <v>prehematologypts</v>
      </c>
      <c r="L234" s="10"/>
      <c r="M234" s="10"/>
    </row>
    <row r="235">
      <c r="A235" s="10"/>
      <c r="B235" s="7" t="s">
        <v>953</v>
      </c>
      <c r="C235" s="7" t="s">
        <v>984</v>
      </c>
      <c r="D235" s="7" t="s">
        <v>154</v>
      </c>
      <c r="E235" s="10" t="s">
        <v>985</v>
      </c>
      <c r="F235" s="9">
        <f t="shared" si="12"/>
        <v>0</v>
      </c>
      <c r="G235" s="7" t="s">
        <v>986</v>
      </c>
      <c r="H235" s="10"/>
      <c r="I235" s="7" t="str">
        <f>IFERROR(__xludf.DUMMYFUNCTION("regexreplace(lower(C235), ""_"", """")"),"prehematologyptts")</f>
        <v>prehematologyptts</v>
      </c>
      <c r="J235" s="9" t="b">
        <f t="shared" si="2"/>
        <v>1</v>
      </c>
      <c r="K235" s="7" t="str">
        <f>IFERROR(__xludf.DUMMYFUNCTION("regexreplace(G235, ""_"", """")"),"prehematologyptts")</f>
        <v>prehematologyptts</v>
      </c>
      <c r="L235" s="10"/>
      <c r="M235" s="10"/>
    </row>
    <row r="236">
      <c r="A236" s="12"/>
      <c r="B236" s="12"/>
      <c r="C236" s="13"/>
      <c r="D236" s="12"/>
      <c r="E236" s="12"/>
      <c r="F236" s="12"/>
      <c r="G236" s="12"/>
      <c r="H236" s="12"/>
      <c r="I236" s="13" t="str">
        <f>IFERROR(__xludf.DUMMYFUNCTION("regexreplace(lower(C236), ""_"", """")"),"")</f>
        <v/>
      </c>
      <c r="J236" s="14" t="str">
        <f t="shared" si="2"/>
        <v/>
      </c>
      <c r="K236" s="13" t="str">
        <f>IFERROR(__xludf.DUMMYFUNCTION("regexreplace(G236, ""_"", """")"),"")</f>
        <v/>
      </c>
      <c r="L236" s="12"/>
      <c r="M236" s="12"/>
    </row>
    <row r="237">
      <c r="A237" s="5" t="s">
        <v>13</v>
      </c>
      <c r="B237" s="7" t="s">
        <v>987</v>
      </c>
      <c r="C237" s="7" t="s">
        <v>988</v>
      </c>
      <c r="D237" s="7" t="s">
        <v>43</v>
      </c>
      <c r="E237" s="10" t="s">
        <v>989</v>
      </c>
      <c r="F237" s="9">
        <f t="shared" ref="F237:F247" si="13">counta(L237:M237)</f>
        <v>1</v>
      </c>
      <c r="G237" s="7" t="s">
        <v>990</v>
      </c>
      <c r="H237" s="10"/>
      <c r="I237" s="7" t="str">
        <f>IFERROR(__xludf.DUMMYFUNCTION("regexreplace(lower(C237), ""_"", """")"),"prepositiveculture")</f>
        <v>prepositiveculture</v>
      </c>
      <c r="J237" s="9" t="b">
        <f t="shared" si="2"/>
        <v>1</v>
      </c>
      <c r="K237" s="7" t="str">
        <f>IFERROR(__xludf.DUMMYFUNCTION("regexreplace(G237, ""_"", """")"),"prepositiveculture")</f>
        <v>prepositiveculture</v>
      </c>
      <c r="L237" s="10" t="s">
        <v>991</v>
      </c>
      <c r="M237" s="10"/>
    </row>
    <row r="238">
      <c r="A238" s="10"/>
      <c r="B238" s="7" t="s">
        <v>987</v>
      </c>
      <c r="C238" s="7" t="s">
        <v>992</v>
      </c>
      <c r="D238" s="7" t="s">
        <v>993</v>
      </c>
      <c r="E238" s="10" t="s">
        <v>994</v>
      </c>
      <c r="F238" s="9">
        <f t="shared" si="13"/>
        <v>1</v>
      </c>
      <c r="G238" s="7" t="s">
        <v>995</v>
      </c>
      <c r="H238" s="10"/>
      <c r="I238" s="7" t="str">
        <f>IFERROR(__xludf.DUMMYFUNCTION("regexreplace(lower(C238), ""_"", """")"),"prepositiveculturesrc")</f>
        <v>prepositiveculturesrc</v>
      </c>
      <c r="J238" s="9" t="b">
        <f t="shared" si="2"/>
        <v>1</v>
      </c>
      <c r="K238" s="7" t="str">
        <f>IFERROR(__xludf.DUMMYFUNCTION("regexreplace(G238, ""_"", """")"),"prepositiveculturesrc")</f>
        <v>prepositiveculturesrc</v>
      </c>
      <c r="L238" s="10" t="s">
        <v>996</v>
      </c>
      <c r="M238" s="10"/>
    </row>
    <row r="239">
      <c r="A239" s="10"/>
      <c r="B239" s="7" t="s">
        <v>987</v>
      </c>
      <c r="C239" s="7" t="s">
        <v>997</v>
      </c>
      <c r="D239" s="7" t="s">
        <v>29</v>
      </c>
      <c r="E239" s="10" t="s">
        <v>998</v>
      </c>
      <c r="F239" s="9">
        <f t="shared" si="13"/>
        <v>1</v>
      </c>
      <c r="G239" s="7" t="s">
        <v>999</v>
      </c>
      <c r="H239" s="10"/>
      <c r="I239" s="7" t="str">
        <f>IFERROR(__xludf.DUMMYFUNCTION("regexreplace(lower(C239), ""_"", """")"),"prepositiveculturedate")</f>
        <v>prepositiveculturedate</v>
      </c>
      <c r="J239" s="9" t="b">
        <f t="shared" si="2"/>
        <v>1</v>
      </c>
      <c r="K239" s="7" t="str">
        <f>IFERROR(__xludf.DUMMYFUNCTION("regexreplace(G239, ""_"", """")"),"prepositiveculturedate")</f>
        <v>prepositiveculturedate</v>
      </c>
      <c r="L239" s="10" t="s">
        <v>1000</v>
      </c>
      <c r="M239" s="10"/>
    </row>
    <row r="240">
      <c r="A240" s="10"/>
      <c r="B240" s="7" t="s">
        <v>987</v>
      </c>
      <c r="C240" s="7" t="s">
        <v>1001</v>
      </c>
      <c r="D240" s="7" t="s">
        <v>148</v>
      </c>
      <c r="E240" s="10" t="s">
        <v>1002</v>
      </c>
      <c r="F240" s="9">
        <f t="shared" si="13"/>
        <v>1</v>
      </c>
      <c r="G240" s="7" t="s">
        <v>1003</v>
      </c>
      <c r="H240" s="10"/>
      <c r="I240" s="7" t="str">
        <f>IFERROR(__xludf.DUMMYFUNCTION("regexreplace(lower(C240), ""_"", """")"),"prepositiveculturetime")</f>
        <v>prepositiveculturetime</v>
      </c>
      <c r="J240" s="9" t="b">
        <f t="shared" si="2"/>
        <v>1</v>
      </c>
      <c r="K240" s="7" t="str">
        <f>IFERROR(__xludf.DUMMYFUNCTION("regexreplace(G240, ""_"", """")"),"prepositiveculturetime")</f>
        <v>prepositiveculturetime</v>
      </c>
      <c r="L240" s="10" t="s">
        <v>1004</v>
      </c>
      <c r="M240" s="10"/>
    </row>
    <row r="241">
      <c r="A241" s="10"/>
      <c r="B241" s="7" t="s">
        <v>987</v>
      </c>
      <c r="C241" s="7" t="s">
        <v>1005</v>
      </c>
      <c r="D241" s="7" t="s">
        <v>1006</v>
      </c>
      <c r="E241" s="10" t="s">
        <v>1007</v>
      </c>
      <c r="F241" s="9">
        <f t="shared" si="13"/>
        <v>1</v>
      </c>
      <c r="G241" s="7" t="s">
        <v>1008</v>
      </c>
      <c r="H241" s="10"/>
      <c r="I241" s="7" t="str">
        <f>IFERROR(__xludf.DUMMYFUNCTION("regexreplace(lower(C241), ""_"", """")"),"prepositivecultureorganismcode1")</f>
        <v>prepositivecultureorganismcode1</v>
      </c>
      <c r="J241" s="9" t="b">
        <f t="shared" si="2"/>
        <v>1</v>
      </c>
      <c r="K241" s="7" t="str">
        <f>IFERROR(__xludf.DUMMYFUNCTION("regexreplace(G241, ""_"", """")"),"prepositivecultureorganismcode1")</f>
        <v>prepositivecultureorganismcode1</v>
      </c>
      <c r="L241" s="10" t="s">
        <v>1009</v>
      </c>
      <c r="M241" s="10"/>
    </row>
    <row r="242">
      <c r="A242" s="10"/>
      <c r="B242" s="7" t="s">
        <v>987</v>
      </c>
      <c r="C242" s="7" t="s">
        <v>1010</v>
      </c>
      <c r="D242" s="7" t="s">
        <v>1006</v>
      </c>
      <c r="E242" s="10" t="s">
        <v>1011</v>
      </c>
      <c r="F242" s="9">
        <f t="shared" si="13"/>
        <v>1</v>
      </c>
      <c r="G242" s="7" t="s">
        <v>1012</v>
      </c>
      <c r="H242" s="10"/>
      <c r="I242" s="7" t="str">
        <f>IFERROR(__xludf.DUMMYFUNCTION("regexreplace(lower(C242), ""_"", """")"),"prepositivecultureorganismcode2")</f>
        <v>prepositivecultureorganismcode2</v>
      </c>
      <c r="J242" s="9" t="b">
        <f t="shared" si="2"/>
        <v>1</v>
      </c>
      <c r="K242" s="7" t="str">
        <f>IFERROR(__xludf.DUMMYFUNCTION("regexreplace(G242, ""_"", """")"),"prepositivecultureorganismcode2")</f>
        <v>prepositivecultureorganismcode2</v>
      </c>
      <c r="L242" s="10" t="s">
        <v>1013</v>
      </c>
      <c r="M242" s="10"/>
    </row>
    <row r="243">
      <c r="A243" s="10"/>
      <c r="B243" s="7" t="s">
        <v>987</v>
      </c>
      <c r="C243" s="7" t="s">
        <v>1014</v>
      </c>
      <c r="D243" s="7" t="s">
        <v>1006</v>
      </c>
      <c r="E243" s="10" t="s">
        <v>1015</v>
      </c>
      <c r="F243" s="9">
        <f t="shared" si="13"/>
        <v>1</v>
      </c>
      <c r="G243" s="7" t="s">
        <v>1016</v>
      </c>
      <c r="H243" s="10"/>
      <c r="I243" s="7" t="str">
        <f>IFERROR(__xludf.DUMMYFUNCTION("regexreplace(lower(C243), ""_"", """")"),"prepositivecultureorganismcode3")</f>
        <v>prepositivecultureorganismcode3</v>
      </c>
      <c r="J243" s="9" t="b">
        <f t="shared" si="2"/>
        <v>1</v>
      </c>
      <c r="K243" s="7" t="str">
        <f>IFERROR(__xludf.DUMMYFUNCTION("regexreplace(G243, ""_"", """")"),"prepositivecultureorganismcode3")</f>
        <v>prepositivecultureorganismcode3</v>
      </c>
      <c r="L243" s="10" t="s">
        <v>1017</v>
      </c>
      <c r="M243" s="10"/>
    </row>
    <row r="244">
      <c r="A244" s="10"/>
      <c r="B244" s="7" t="s">
        <v>987</v>
      </c>
      <c r="C244" s="7" t="s">
        <v>1018</v>
      </c>
      <c r="D244" s="7" t="s">
        <v>43</v>
      </c>
      <c r="E244" s="15" t="s">
        <v>1019</v>
      </c>
      <c r="F244" s="9">
        <f t="shared" si="13"/>
        <v>2</v>
      </c>
      <c r="G244" s="7" t="s">
        <v>1020</v>
      </c>
      <c r="H244" s="10"/>
      <c r="I244" s="7" t="str">
        <f>IFERROR(__xludf.DUMMYFUNCTION("regexreplace(lower(C244), ""_"", """")"),"preantibiotics")</f>
        <v>preantibiotics</v>
      </c>
      <c r="J244" s="9" t="b">
        <f t="shared" si="2"/>
        <v>1</v>
      </c>
      <c r="K244" s="7" t="str">
        <f>IFERROR(__xludf.DUMMYFUNCTION("regexreplace(G244, ""_"", """")"),"preantibiotics")</f>
        <v>preantibiotics</v>
      </c>
      <c r="L244" s="10" t="s">
        <v>1021</v>
      </c>
      <c r="M244" s="10" t="s">
        <v>1022</v>
      </c>
    </row>
    <row r="245">
      <c r="A245" s="10"/>
      <c r="B245" s="7" t="s">
        <v>987</v>
      </c>
      <c r="C245" s="7" t="s">
        <v>1023</v>
      </c>
      <c r="D245" s="7" t="s">
        <v>456</v>
      </c>
      <c r="E245" s="15" t="s">
        <v>1024</v>
      </c>
      <c r="F245" s="9">
        <f t="shared" si="13"/>
        <v>2</v>
      </c>
      <c r="G245" s="7" t="s">
        <v>1025</v>
      </c>
      <c r="H245" s="10"/>
      <c r="I245" s="7" t="str">
        <f>IFERROR(__xludf.DUMMYFUNCTION("regexreplace(lower(C245), ""_"", """")"),"preantibioticscode1")</f>
        <v>preantibioticscode1</v>
      </c>
      <c r="J245" s="9" t="b">
        <f t="shared" si="2"/>
        <v>1</v>
      </c>
      <c r="K245" s="7" t="str">
        <f>IFERROR(__xludf.DUMMYFUNCTION("regexreplace(G245, ""_"", """")"),"preantibioticscode1")</f>
        <v>preantibioticscode1</v>
      </c>
      <c r="L245" s="10" t="s">
        <v>1026</v>
      </c>
      <c r="M245" s="10" t="s">
        <v>1027</v>
      </c>
    </row>
    <row r="246">
      <c r="A246" s="10"/>
      <c r="B246" s="7" t="s">
        <v>987</v>
      </c>
      <c r="C246" s="7" t="s">
        <v>1028</v>
      </c>
      <c r="D246" s="7" t="s">
        <v>456</v>
      </c>
      <c r="E246" s="15" t="s">
        <v>1029</v>
      </c>
      <c r="F246" s="9">
        <f t="shared" si="13"/>
        <v>2</v>
      </c>
      <c r="G246" s="7" t="s">
        <v>1030</v>
      </c>
      <c r="H246" s="10"/>
      <c r="I246" s="7" t="str">
        <f>IFERROR(__xludf.DUMMYFUNCTION("regexreplace(lower(C246), ""_"", """")"),"preantibioticscode2")</f>
        <v>preantibioticscode2</v>
      </c>
      <c r="J246" s="9" t="b">
        <f t="shared" si="2"/>
        <v>1</v>
      </c>
      <c r="K246" s="7" t="str">
        <f>IFERROR(__xludf.DUMMYFUNCTION("regexreplace(G246, ""_"", """")"),"preantibioticscode2")</f>
        <v>preantibioticscode2</v>
      </c>
      <c r="L246" s="10" t="s">
        <v>1031</v>
      </c>
      <c r="M246" s="10" t="s">
        <v>1032</v>
      </c>
    </row>
    <row r="247">
      <c r="A247" s="10"/>
      <c r="B247" s="7" t="s">
        <v>987</v>
      </c>
      <c r="C247" s="7" t="s">
        <v>1033</v>
      </c>
      <c r="D247" s="7" t="s">
        <v>456</v>
      </c>
      <c r="E247" s="15" t="s">
        <v>1034</v>
      </c>
      <c r="F247" s="9">
        <f t="shared" si="13"/>
        <v>2</v>
      </c>
      <c r="G247" s="7" t="s">
        <v>1035</v>
      </c>
      <c r="H247" s="10"/>
      <c r="I247" s="7" t="str">
        <f>IFERROR(__xludf.DUMMYFUNCTION("regexreplace(lower(C247), ""_"", """")"),"preantibioticscode3")</f>
        <v>preantibioticscode3</v>
      </c>
      <c r="J247" s="9" t="b">
        <f t="shared" si="2"/>
        <v>1</v>
      </c>
      <c r="K247" s="7" t="str">
        <f>IFERROR(__xludf.DUMMYFUNCTION("regexreplace(G247, ""_"", """")"),"preantibioticscode3")</f>
        <v>preantibioticscode3</v>
      </c>
      <c r="L247" s="10" t="s">
        <v>1036</v>
      </c>
      <c r="M247" s="10" t="s">
        <v>1037</v>
      </c>
    </row>
    <row r="248">
      <c r="A248" s="12"/>
      <c r="B248" s="12"/>
      <c r="C248" s="13"/>
      <c r="D248" s="12"/>
      <c r="E248" s="12"/>
      <c r="F248" s="12"/>
      <c r="G248" s="12"/>
      <c r="H248" s="12"/>
      <c r="I248" s="13" t="str">
        <f>IFERROR(__xludf.DUMMYFUNCTION("regexreplace(lower(C248), ""_"", """")"),"")</f>
        <v/>
      </c>
      <c r="J248" s="14" t="str">
        <f t="shared" si="2"/>
        <v/>
      </c>
      <c r="K248" s="13" t="str">
        <f>IFERROR(__xludf.DUMMYFUNCTION("regexreplace(G248, ""_"", """")"),"")</f>
        <v/>
      </c>
      <c r="L248" s="12"/>
      <c r="M248" s="12"/>
    </row>
    <row r="249">
      <c r="A249" s="5" t="s">
        <v>13</v>
      </c>
      <c r="B249" s="7" t="s">
        <v>1038</v>
      </c>
      <c r="C249" s="7" t="s">
        <v>1039</v>
      </c>
      <c r="D249" s="7" t="s">
        <v>29</v>
      </c>
      <c r="E249" s="23" t="s">
        <v>1040</v>
      </c>
      <c r="F249" s="9">
        <f t="shared" ref="F249:F250" si="14">counta(L249:M249)</f>
        <v>0</v>
      </c>
      <c r="G249" s="7" t="s">
        <v>1041</v>
      </c>
      <c r="H249" s="7" t="s">
        <v>857</v>
      </c>
      <c r="I249" s="7" t="str">
        <f>IFERROR(__xludf.DUMMYFUNCTION("regexreplace(lower(C249), ""_"", """")"),"preothermedtargetdate")</f>
        <v>preothermedtargetdate</v>
      </c>
      <c r="J249" s="9" t="b">
        <f t="shared" si="2"/>
        <v>1</v>
      </c>
      <c r="K249" s="7" t="str">
        <f>IFERROR(__xludf.DUMMYFUNCTION("regexreplace(G249, ""_"", """")"),"preothermedtargetdate")</f>
        <v>preothermedtargetdate</v>
      </c>
      <c r="L249" s="10"/>
      <c r="M249" s="10"/>
    </row>
    <row r="250">
      <c r="A250" s="10"/>
      <c r="B250" s="7" t="s">
        <v>1038</v>
      </c>
      <c r="C250" s="7" t="s">
        <v>1042</v>
      </c>
      <c r="D250" s="7" t="s">
        <v>148</v>
      </c>
      <c r="E250" s="23" t="s">
        <v>1043</v>
      </c>
      <c r="F250" s="9">
        <f t="shared" si="14"/>
        <v>0</v>
      </c>
      <c r="G250" s="7" t="s">
        <v>1044</v>
      </c>
      <c r="H250" s="10"/>
      <c r="I250" s="7" t="str">
        <f>IFERROR(__xludf.DUMMYFUNCTION("regexreplace(lower(C250), ""_"", """")"),"preothermedtargettime")</f>
        <v>preothermedtargettime</v>
      </c>
      <c r="J250" s="9" t="b">
        <f t="shared" si="2"/>
        <v>1</v>
      </c>
      <c r="K250" s="7" t="str">
        <f>IFERROR(__xludf.DUMMYFUNCTION("regexreplace(G250, ""_"", """")"),"preothermedtargettime")</f>
        <v>preothermedtargettime</v>
      </c>
      <c r="L250" s="10"/>
      <c r="M250" s="10"/>
    </row>
    <row r="251">
      <c r="A251" s="10"/>
      <c r="B251" s="7" t="s">
        <v>1038</v>
      </c>
      <c r="C251" s="16" t="s">
        <v>1045</v>
      </c>
      <c r="D251" s="21" t="s">
        <v>1046</v>
      </c>
      <c r="E251" s="25" t="s">
        <v>1047</v>
      </c>
      <c r="F251" s="9"/>
      <c r="G251" s="21" t="s">
        <v>1048</v>
      </c>
      <c r="H251" s="10"/>
      <c r="I251" s="7" t="str">
        <f>IFERROR(__xludf.DUMMYFUNCTION("regexreplace(lower(C251), ""_"", """")"),"preanticonvulsants")</f>
        <v>preanticonvulsants</v>
      </c>
      <c r="J251" s="9" t="b">
        <f t="shared" si="2"/>
        <v>1</v>
      </c>
      <c r="K251" s="7" t="str">
        <f>IFERROR(__xludf.DUMMYFUNCTION("regexreplace(G251, ""_"", """")"),"preanticonvulsants")</f>
        <v>preanticonvulsants</v>
      </c>
      <c r="L251" s="10"/>
      <c r="M251" s="10"/>
    </row>
    <row r="252">
      <c r="A252" s="10"/>
      <c r="B252" s="7" t="s">
        <v>1038</v>
      </c>
      <c r="C252" s="7" t="s">
        <v>1049</v>
      </c>
      <c r="D252" s="7" t="s">
        <v>1046</v>
      </c>
      <c r="E252" s="15" t="s">
        <v>1050</v>
      </c>
      <c r="F252" s="9">
        <f t="shared" ref="F252:F255" si="15">counta(L252:M252)</f>
        <v>0</v>
      </c>
      <c r="G252" s="7" t="s">
        <v>1051</v>
      </c>
      <c r="H252" s="10"/>
      <c r="I252" s="7" t="str">
        <f>IFERROR(__xludf.DUMMYFUNCTION("regexreplace(lower(C252), ""_"", """")"),"preanticonvulsants1")</f>
        <v>preanticonvulsants1</v>
      </c>
      <c r="J252" s="9" t="b">
        <f t="shared" si="2"/>
        <v>1</v>
      </c>
      <c r="K252" s="7" t="str">
        <f>IFERROR(__xludf.DUMMYFUNCTION("regexreplace(G252, ""_"", """")"),"preanticonvulsants1")</f>
        <v>preanticonvulsants1</v>
      </c>
      <c r="L252" s="10"/>
      <c r="M252" s="10"/>
    </row>
    <row r="253">
      <c r="A253" s="10"/>
      <c r="B253" s="7" t="s">
        <v>1038</v>
      </c>
      <c r="C253" s="7" t="s">
        <v>1052</v>
      </c>
      <c r="D253" s="7" t="s">
        <v>1046</v>
      </c>
      <c r="E253" s="15" t="s">
        <v>1053</v>
      </c>
      <c r="F253" s="9">
        <f t="shared" si="15"/>
        <v>0</v>
      </c>
      <c r="G253" s="7" t="s">
        <v>1054</v>
      </c>
      <c r="H253" s="10"/>
      <c r="I253" s="7" t="str">
        <f>IFERROR(__xludf.DUMMYFUNCTION("regexreplace(lower(C253), ""_"", """")"),"preanticonvulsants2")</f>
        <v>preanticonvulsants2</v>
      </c>
      <c r="J253" s="9" t="b">
        <f t="shared" si="2"/>
        <v>1</v>
      </c>
      <c r="K253" s="7" t="str">
        <f>IFERROR(__xludf.DUMMYFUNCTION("regexreplace(G253, ""_"", """")"),"preanticonvulsants2")</f>
        <v>preanticonvulsants2</v>
      </c>
      <c r="L253" s="10"/>
      <c r="M253" s="10"/>
    </row>
    <row r="254">
      <c r="A254" s="10"/>
      <c r="B254" s="7" t="s">
        <v>1038</v>
      </c>
      <c r="C254" s="7" t="s">
        <v>1055</v>
      </c>
      <c r="D254" s="7" t="s">
        <v>1046</v>
      </c>
      <c r="E254" s="15" t="s">
        <v>1056</v>
      </c>
      <c r="F254" s="9">
        <f t="shared" si="15"/>
        <v>0</v>
      </c>
      <c r="G254" s="7" t="s">
        <v>1057</v>
      </c>
      <c r="H254" s="10"/>
      <c r="I254" s="7" t="str">
        <f>IFERROR(__xludf.DUMMYFUNCTION("regexreplace(lower(C254), ""_"", """")"),"preanticonvulsants3")</f>
        <v>preanticonvulsants3</v>
      </c>
      <c r="J254" s="9" t="b">
        <f t="shared" si="2"/>
        <v>1</v>
      </c>
      <c r="K254" s="7" t="str">
        <f>IFERROR(__xludf.DUMMYFUNCTION("regexreplace(G254, ""_"", """")"),"preanticonvulsants3")</f>
        <v>preanticonvulsants3</v>
      </c>
      <c r="L254" s="10"/>
      <c r="M254" s="10"/>
    </row>
    <row r="255">
      <c r="A255" s="10"/>
      <c r="B255" s="7" t="s">
        <v>1038</v>
      </c>
      <c r="C255" s="21" t="s">
        <v>1058</v>
      </c>
      <c r="D255" s="7" t="s">
        <v>43</v>
      </c>
      <c r="E255" s="18" t="s">
        <v>1059</v>
      </c>
      <c r="F255" s="9">
        <f t="shared" si="15"/>
        <v>1</v>
      </c>
      <c r="G255" s="16" t="s">
        <v>1060</v>
      </c>
      <c r="H255" s="10"/>
      <c r="I255" s="7" t="str">
        <f>IFERROR(__xludf.DUMMYFUNCTION("regexreplace(lower(C255), ""_"", """")"),"preanticonvulsantsb")</f>
        <v>preanticonvulsantsb</v>
      </c>
      <c r="J255" s="9" t="b">
        <f t="shared" si="2"/>
        <v>1</v>
      </c>
      <c r="K255" s="7" t="str">
        <f>IFERROR(__xludf.DUMMYFUNCTION("regexreplace(G255, ""_"", """")"),"preanticonvulsantsb")</f>
        <v>preanticonvulsantsb</v>
      </c>
      <c r="L255" s="10"/>
      <c r="M255" s="8" t="s">
        <v>1061</v>
      </c>
    </row>
    <row r="256">
      <c r="A256" s="10"/>
      <c r="B256" s="7" t="s">
        <v>1038</v>
      </c>
      <c r="C256" s="16" t="s">
        <v>1062</v>
      </c>
      <c r="D256" s="24" t="s">
        <v>1063</v>
      </c>
      <c r="E256" s="15"/>
      <c r="F256" s="9"/>
      <c r="G256" s="16" t="s">
        <v>1064</v>
      </c>
      <c r="H256" s="10"/>
      <c r="I256" s="7" t="str">
        <f>IFERROR(__xludf.DUMMYFUNCTION("regexreplace(lower(C256), ""_"", """")"),"preanalgesicssedatives")</f>
        <v>preanalgesicssedatives</v>
      </c>
      <c r="J256" s="9" t="b">
        <f t="shared" si="2"/>
        <v>1</v>
      </c>
      <c r="K256" s="7" t="str">
        <f>IFERROR(__xludf.DUMMYFUNCTION("regexreplace(G256, ""_"", """")"),"preanalgesicssedatives")</f>
        <v>preanalgesicssedatives</v>
      </c>
      <c r="L256" s="10"/>
      <c r="M256" s="10"/>
    </row>
    <row r="257">
      <c r="A257" s="10"/>
      <c r="B257" s="7" t="s">
        <v>1038</v>
      </c>
      <c r="C257" s="7" t="s">
        <v>1065</v>
      </c>
      <c r="D257" s="7" t="s">
        <v>1063</v>
      </c>
      <c r="E257" s="15" t="s">
        <v>1066</v>
      </c>
      <c r="F257" s="9">
        <f t="shared" ref="F257:F267" si="16">counta(L257:M257)</f>
        <v>0</v>
      </c>
      <c r="G257" s="7" t="s">
        <v>1067</v>
      </c>
      <c r="H257" s="10"/>
      <c r="I257" s="7" t="str">
        <f>IFERROR(__xludf.DUMMYFUNCTION("regexreplace(lower(C257), ""_"", """")"),"preanalgesicssedatives1")</f>
        <v>preanalgesicssedatives1</v>
      </c>
      <c r="J257" s="9" t="b">
        <f t="shared" si="2"/>
        <v>1</v>
      </c>
      <c r="K257" s="7" t="str">
        <f>IFERROR(__xludf.DUMMYFUNCTION("regexreplace(G257, ""_"", """")"),"preanalgesicssedatives1")</f>
        <v>preanalgesicssedatives1</v>
      </c>
      <c r="L257" s="10"/>
      <c r="M257" s="10"/>
    </row>
    <row r="258">
      <c r="A258" s="10"/>
      <c r="B258" s="7" t="s">
        <v>1038</v>
      </c>
      <c r="C258" s="7" t="s">
        <v>1068</v>
      </c>
      <c r="D258" s="7" t="s">
        <v>1063</v>
      </c>
      <c r="E258" s="15" t="s">
        <v>1069</v>
      </c>
      <c r="F258" s="9">
        <f t="shared" si="16"/>
        <v>0</v>
      </c>
      <c r="G258" s="7" t="s">
        <v>1070</v>
      </c>
      <c r="H258" s="10"/>
      <c r="I258" s="7" t="str">
        <f>IFERROR(__xludf.DUMMYFUNCTION("regexreplace(lower(C258), ""_"", """")"),"preanalgesicssedatives2")</f>
        <v>preanalgesicssedatives2</v>
      </c>
      <c r="J258" s="9" t="b">
        <f t="shared" si="2"/>
        <v>1</v>
      </c>
      <c r="K258" s="7" t="str">
        <f>IFERROR(__xludf.DUMMYFUNCTION("regexreplace(G258, ""_"", """")"),"preanalgesicssedatives2")</f>
        <v>preanalgesicssedatives2</v>
      </c>
      <c r="L258" s="10"/>
      <c r="M258" s="10"/>
    </row>
    <row r="259">
      <c r="A259" s="10"/>
      <c r="B259" s="7" t="s">
        <v>1038</v>
      </c>
      <c r="C259" s="7" t="s">
        <v>1071</v>
      </c>
      <c r="D259" s="7" t="s">
        <v>1063</v>
      </c>
      <c r="E259" s="15" t="s">
        <v>1072</v>
      </c>
      <c r="F259" s="9">
        <f t="shared" si="16"/>
        <v>0</v>
      </c>
      <c r="G259" s="7" t="s">
        <v>1073</v>
      </c>
      <c r="H259" s="10"/>
      <c r="I259" s="7" t="str">
        <f>IFERROR(__xludf.DUMMYFUNCTION("regexreplace(lower(C259), ""_"", """")"),"preanalgesicssedatives3")</f>
        <v>preanalgesicssedatives3</v>
      </c>
      <c r="J259" s="9" t="b">
        <f t="shared" si="2"/>
        <v>1</v>
      </c>
      <c r="K259" s="7" t="str">
        <f>IFERROR(__xludf.DUMMYFUNCTION("regexreplace(G259, ""_"", """")"),"preanalgesicssedatives3")</f>
        <v>preanalgesicssedatives3</v>
      </c>
      <c r="L259" s="10"/>
      <c r="M259" s="10"/>
    </row>
    <row r="260">
      <c r="A260" s="10"/>
      <c r="B260" s="7" t="s">
        <v>1038</v>
      </c>
      <c r="C260" s="7" t="s">
        <v>1074</v>
      </c>
      <c r="D260" s="7" t="s">
        <v>1075</v>
      </c>
      <c r="E260" s="15" t="s">
        <v>1076</v>
      </c>
      <c r="F260" s="9">
        <f t="shared" si="16"/>
        <v>0</v>
      </c>
      <c r="G260" s="7" t="s">
        <v>1077</v>
      </c>
      <c r="H260" s="10"/>
      <c r="I260" s="7" t="str">
        <f>IFERROR(__xludf.DUMMYFUNCTION("regexreplace(lower(C260), ""_"", """")"),"preantipyretics1")</f>
        <v>preantipyretics1</v>
      </c>
      <c r="J260" s="9" t="b">
        <f t="shared" si="2"/>
        <v>1</v>
      </c>
      <c r="K260" s="7" t="str">
        <f>IFERROR(__xludf.DUMMYFUNCTION("regexreplace(G260, ""_"", """")"),"preantipyretics1")</f>
        <v>preantipyretics1</v>
      </c>
      <c r="L260" s="10"/>
      <c r="M260" s="10"/>
    </row>
    <row r="261">
      <c r="A261" s="10"/>
      <c r="B261" s="7" t="s">
        <v>1038</v>
      </c>
      <c r="C261" s="7" t="s">
        <v>1078</v>
      </c>
      <c r="D261" s="7" t="s">
        <v>1075</v>
      </c>
      <c r="E261" s="15" t="s">
        <v>1079</v>
      </c>
      <c r="F261" s="9">
        <f t="shared" si="16"/>
        <v>0</v>
      </c>
      <c r="G261" s="7" t="s">
        <v>1080</v>
      </c>
      <c r="H261" s="10"/>
      <c r="I261" s="7" t="str">
        <f>IFERROR(__xludf.DUMMYFUNCTION("regexreplace(lower(C261), ""_"", """")"),"preantipyretics2")</f>
        <v>preantipyretics2</v>
      </c>
      <c r="J261" s="9" t="b">
        <f t="shared" si="2"/>
        <v>1</v>
      </c>
      <c r="K261" s="7" t="str">
        <f>IFERROR(__xludf.DUMMYFUNCTION("regexreplace(G261, ""_"", """")"),"preantipyretics2")</f>
        <v>preantipyretics2</v>
      </c>
      <c r="L261" s="10"/>
      <c r="M261" s="10"/>
    </row>
    <row r="262">
      <c r="A262" s="10"/>
      <c r="B262" s="7" t="s">
        <v>1038</v>
      </c>
      <c r="C262" s="7" t="s">
        <v>1081</v>
      </c>
      <c r="D262" s="7" t="s">
        <v>1075</v>
      </c>
      <c r="E262" s="15" t="s">
        <v>1082</v>
      </c>
      <c r="F262" s="9">
        <f t="shared" si="16"/>
        <v>0</v>
      </c>
      <c r="G262" s="7" t="s">
        <v>1083</v>
      </c>
      <c r="H262" s="10"/>
      <c r="I262" s="7" t="str">
        <f>IFERROR(__xludf.DUMMYFUNCTION("regexreplace(lower(C262), ""_"", """")"),"preantipyretics3")</f>
        <v>preantipyretics3</v>
      </c>
      <c r="J262" s="9" t="b">
        <f t="shared" si="2"/>
        <v>1</v>
      </c>
      <c r="K262" s="7" t="str">
        <f>IFERROR(__xludf.DUMMYFUNCTION("regexreplace(G262, ""_"", """")"),"preantipyretics3")</f>
        <v>preantipyretics3</v>
      </c>
      <c r="L262" s="10"/>
      <c r="M262" s="10"/>
    </row>
    <row r="263">
      <c r="A263" s="10"/>
      <c r="B263" s="7" t="s">
        <v>1038</v>
      </c>
      <c r="C263" s="7" t="s">
        <v>1084</v>
      </c>
      <c r="D263" s="7" t="s">
        <v>1085</v>
      </c>
      <c r="E263" s="15" t="s">
        <v>1086</v>
      </c>
      <c r="F263" s="9">
        <f t="shared" si="16"/>
        <v>0</v>
      </c>
      <c r="G263" s="7" t="s">
        <v>1087</v>
      </c>
      <c r="H263" s="10"/>
      <c r="I263" s="7" t="str">
        <f>IFERROR(__xludf.DUMMYFUNCTION("regexreplace(lower(C263), ""_"", """")"),"preparalytics1")</f>
        <v>preparalytics1</v>
      </c>
      <c r="J263" s="9" t="b">
        <f t="shared" si="2"/>
        <v>1</v>
      </c>
      <c r="K263" s="7" t="str">
        <f>IFERROR(__xludf.DUMMYFUNCTION("regexreplace(G263, ""_"", """")"),"preparalytics1")</f>
        <v>preparalytics1</v>
      </c>
      <c r="L263" s="10"/>
      <c r="M263" s="10"/>
    </row>
    <row r="264">
      <c r="A264" s="10"/>
      <c r="B264" s="7" t="s">
        <v>1038</v>
      </c>
      <c r="C264" s="7" t="s">
        <v>1088</v>
      </c>
      <c r="D264" s="7" t="s">
        <v>1085</v>
      </c>
      <c r="E264" s="15" t="s">
        <v>1089</v>
      </c>
      <c r="F264" s="9">
        <f t="shared" si="16"/>
        <v>0</v>
      </c>
      <c r="G264" s="7" t="s">
        <v>1090</v>
      </c>
      <c r="H264" s="10"/>
      <c r="I264" s="7" t="str">
        <f>IFERROR(__xludf.DUMMYFUNCTION("regexreplace(lower(C264), ""_"", """")"),"preparalytics2")</f>
        <v>preparalytics2</v>
      </c>
      <c r="J264" s="9" t="b">
        <f t="shared" si="2"/>
        <v>1</v>
      </c>
      <c r="K264" s="7" t="str">
        <f>IFERROR(__xludf.DUMMYFUNCTION("regexreplace(G264, ""_"", """")"),"preparalytics2")</f>
        <v>preparalytics2</v>
      </c>
      <c r="L264" s="10"/>
      <c r="M264" s="10"/>
    </row>
    <row r="265">
      <c r="A265" s="10"/>
      <c r="B265" s="7" t="s">
        <v>1038</v>
      </c>
      <c r="C265" s="7" t="s">
        <v>1091</v>
      </c>
      <c r="D265" s="7" t="s">
        <v>1085</v>
      </c>
      <c r="E265" s="15" t="s">
        <v>1092</v>
      </c>
      <c r="F265" s="9">
        <f t="shared" si="16"/>
        <v>0</v>
      </c>
      <c r="G265" s="7" t="s">
        <v>1093</v>
      </c>
      <c r="H265" s="10"/>
      <c r="I265" s="7" t="str">
        <f>IFERROR(__xludf.DUMMYFUNCTION("regexreplace(lower(C265), ""_"", """")"),"preparalytics3")</f>
        <v>preparalytics3</v>
      </c>
      <c r="J265" s="9" t="b">
        <f t="shared" si="2"/>
        <v>1</v>
      </c>
      <c r="K265" s="7" t="str">
        <f>IFERROR(__xludf.DUMMYFUNCTION("regexreplace(G265, ""_"", """")"),"preparalytics3")</f>
        <v>preparalytics3</v>
      </c>
      <c r="L265" s="10"/>
      <c r="M265" s="10"/>
    </row>
    <row r="266">
      <c r="A266" s="10"/>
      <c r="B266" s="7" t="s">
        <v>1038</v>
      </c>
      <c r="C266" s="7" t="s">
        <v>1094</v>
      </c>
      <c r="D266" s="7" t="s">
        <v>154</v>
      </c>
      <c r="E266" s="10" t="s">
        <v>1095</v>
      </c>
      <c r="F266" s="9">
        <f t="shared" si="16"/>
        <v>0</v>
      </c>
      <c r="G266" s="7" t="s">
        <v>1096</v>
      </c>
      <c r="H266" s="10"/>
      <c r="I266" s="7" t="str">
        <f>IFERROR(__xludf.DUMMYFUNCTION("regexreplace(lower(C266), ""_"", """")"),"preothermedfluidintakeccperkg")</f>
        <v>preothermedfluidintakeccperkg</v>
      </c>
      <c r="J266" s="9" t="b">
        <f t="shared" si="2"/>
        <v>1</v>
      </c>
      <c r="K266" s="7" t="str">
        <f>IFERROR(__xludf.DUMMYFUNCTION("regexreplace(G266, ""_"", """")"),"preothermedfluidintakeccperkg")</f>
        <v>preothermedfluidintakeccperkg</v>
      </c>
      <c r="L266" s="10"/>
      <c r="M266" s="10"/>
    </row>
    <row r="267">
      <c r="A267" s="10"/>
      <c r="B267" s="7" t="s">
        <v>1038</v>
      </c>
      <c r="C267" s="7" t="s">
        <v>1097</v>
      </c>
      <c r="D267" s="7" t="s">
        <v>154</v>
      </c>
      <c r="E267" s="10" t="s">
        <v>1098</v>
      </c>
      <c r="F267" s="9">
        <f t="shared" si="16"/>
        <v>0</v>
      </c>
      <c r="G267" s="7" t="s">
        <v>1099</v>
      </c>
      <c r="H267" s="10"/>
      <c r="I267" s="7" t="str">
        <f>IFERROR(__xludf.DUMMYFUNCTION("regexreplace(lower(C267), ""_"", """")"),"preothermedurineoutputccperkg")</f>
        <v>preothermedurineoutputccperkg</v>
      </c>
      <c r="J267" s="9" t="b">
        <f t="shared" si="2"/>
        <v>1</v>
      </c>
      <c r="K267" s="7" t="str">
        <f>IFERROR(__xludf.DUMMYFUNCTION("regexreplace(G267, ""_"", """")"),"preothermedurineoutputccperkg")</f>
        <v>preothermedurineoutputccperkg</v>
      </c>
      <c r="L267" s="10"/>
      <c r="M267" s="10"/>
    </row>
    <row r="268">
      <c r="A268" s="12"/>
      <c r="B268" s="12"/>
      <c r="C268" s="13"/>
      <c r="D268" s="12"/>
      <c r="E268" s="12"/>
      <c r="F268" s="12"/>
      <c r="G268" s="12"/>
      <c r="H268" s="12"/>
      <c r="I268" s="13" t="str">
        <f>IFERROR(__xludf.DUMMYFUNCTION("regexreplace(lower(C268), ""_"", """")"),"")</f>
        <v/>
      </c>
      <c r="J268" s="14" t="str">
        <f t="shared" si="2"/>
        <v/>
      </c>
      <c r="K268" s="13" t="str">
        <f>IFERROR(__xludf.DUMMYFUNCTION("regexreplace(G268, ""_"", """")"),"")</f>
        <v/>
      </c>
      <c r="L268" s="12"/>
      <c r="M268" s="12"/>
    </row>
    <row r="269">
      <c r="A269" s="5" t="s">
        <v>13</v>
      </c>
      <c r="B269" s="7" t="s">
        <v>1100</v>
      </c>
      <c r="C269" s="7" t="s">
        <v>1101</v>
      </c>
      <c r="D269" s="7" t="s">
        <v>43</v>
      </c>
      <c r="E269" s="10" t="s">
        <v>1102</v>
      </c>
      <c r="F269" s="9">
        <f t="shared" ref="F269:F304" si="17">counta(L269:M269)</f>
        <v>0</v>
      </c>
      <c r="G269" s="7" t="s">
        <v>1103</v>
      </c>
      <c r="H269" s="7" t="s">
        <v>831</v>
      </c>
      <c r="I269" s="7" t="str">
        <f>IFERROR(__xludf.DUMMYFUNCTION("regexreplace(lower(C269), ""_"", """")"),"preheadsonogram")</f>
        <v>preheadsonogram</v>
      </c>
      <c r="J269" s="9" t="b">
        <f t="shared" si="2"/>
        <v>1</v>
      </c>
      <c r="K269" s="7" t="str">
        <f>IFERROR(__xludf.DUMMYFUNCTION("regexreplace(G269, ""_"", """")"),"preheadsonogram")</f>
        <v>preheadsonogram</v>
      </c>
      <c r="L269" s="10"/>
      <c r="M269" s="10"/>
    </row>
    <row r="270">
      <c r="A270" s="10"/>
      <c r="B270" s="7" t="s">
        <v>1100</v>
      </c>
      <c r="C270" s="7" t="s">
        <v>1104</v>
      </c>
      <c r="D270" s="7" t="s">
        <v>29</v>
      </c>
      <c r="E270" s="10" t="s">
        <v>1105</v>
      </c>
      <c r="F270" s="9">
        <f t="shared" si="17"/>
        <v>0</v>
      </c>
      <c r="G270" s="7" t="s">
        <v>1106</v>
      </c>
      <c r="H270" s="10"/>
      <c r="I270" s="7" t="str">
        <f>IFERROR(__xludf.DUMMYFUNCTION("regexreplace(lower(C270), ""_"", """")"),"preheadsonogramdate")</f>
        <v>preheadsonogramdate</v>
      </c>
      <c r="J270" s="9" t="b">
        <f t="shared" si="2"/>
        <v>1</v>
      </c>
      <c r="K270" s="7" t="str">
        <f>IFERROR(__xludf.DUMMYFUNCTION("regexreplace(G270, ""_"", """")"),"preheadsonogramdate")</f>
        <v>preheadsonogramdate</v>
      </c>
      <c r="L270" s="10"/>
      <c r="M270" s="10"/>
    </row>
    <row r="271">
      <c r="A271" s="10"/>
      <c r="B271" s="7" t="s">
        <v>1100</v>
      </c>
      <c r="C271" s="7" t="s">
        <v>1107</v>
      </c>
      <c r="D271" s="7" t="s">
        <v>148</v>
      </c>
      <c r="E271" s="10" t="s">
        <v>1108</v>
      </c>
      <c r="F271" s="9">
        <f t="shared" si="17"/>
        <v>0</v>
      </c>
      <c r="G271" s="7" t="s">
        <v>1109</v>
      </c>
      <c r="H271" s="10"/>
      <c r="I271" s="7" t="str">
        <f>IFERROR(__xludf.DUMMYFUNCTION("regexreplace(lower(C271), ""_"", """")"),"preheadsonogramtime")</f>
        <v>preheadsonogramtime</v>
      </c>
      <c r="J271" s="9" t="b">
        <f t="shared" si="2"/>
        <v>1</v>
      </c>
      <c r="K271" s="7" t="str">
        <f>IFERROR(__xludf.DUMMYFUNCTION("regexreplace(G271, ""_"", """")"),"preheadsonogramtime")</f>
        <v>preheadsonogramtime</v>
      </c>
      <c r="L271" s="10"/>
      <c r="M271" s="10"/>
    </row>
    <row r="272">
      <c r="A272" s="10"/>
      <c r="B272" s="7" t="s">
        <v>1100</v>
      </c>
      <c r="C272" s="7" t="s">
        <v>1110</v>
      </c>
      <c r="D272" s="7" t="s">
        <v>1111</v>
      </c>
      <c r="E272" s="10" t="s">
        <v>1112</v>
      </c>
      <c r="F272" s="9">
        <f t="shared" si="17"/>
        <v>0</v>
      </c>
      <c r="G272" s="7" t="s">
        <v>1113</v>
      </c>
      <c r="H272" s="10"/>
      <c r="I272" s="7" t="str">
        <f>IFERROR(__xludf.DUMMYFUNCTION("regexreplace(lower(C272), ""_"", """")"),"preheadsonogramresult1")</f>
        <v>preheadsonogramresult1</v>
      </c>
      <c r="J272" s="9" t="b">
        <f t="shared" si="2"/>
        <v>1</v>
      </c>
      <c r="K272" s="7" t="str">
        <f>IFERROR(__xludf.DUMMYFUNCTION("regexreplace(G272, ""_"", """")"),"preheadsonogramresult1")</f>
        <v>preheadsonogramresult1</v>
      </c>
      <c r="L272" s="10"/>
      <c r="M272" s="10"/>
    </row>
    <row r="273">
      <c r="A273" s="10"/>
      <c r="B273" s="7" t="s">
        <v>1100</v>
      </c>
      <c r="C273" s="7" t="s">
        <v>1114</v>
      </c>
      <c r="D273" s="7" t="s">
        <v>1111</v>
      </c>
      <c r="E273" s="10" t="s">
        <v>1115</v>
      </c>
      <c r="F273" s="9">
        <f t="shared" si="17"/>
        <v>0</v>
      </c>
      <c r="G273" s="7" t="s">
        <v>1116</v>
      </c>
      <c r="H273" s="10"/>
      <c r="I273" s="7" t="str">
        <f>IFERROR(__xludf.DUMMYFUNCTION("regexreplace(lower(C273), ""_"", """")"),"preheadsonogramresult2")</f>
        <v>preheadsonogramresult2</v>
      </c>
      <c r="J273" s="9" t="b">
        <f t="shared" si="2"/>
        <v>1</v>
      </c>
      <c r="K273" s="7" t="str">
        <f>IFERROR(__xludf.DUMMYFUNCTION("regexreplace(G273, ""_"", """")"),"preheadsonogramresult2")</f>
        <v>preheadsonogramresult2</v>
      </c>
      <c r="L273" s="10"/>
      <c r="M273" s="10"/>
    </row>
    <row r="274">
      <c r="A274" s="10"/>
      <c r="B274" s="7" t="s">
        <v>1100</v>
      </c>
      <c r="C274" s="7" t="s">
        <v>1117</v>
      </c>
      <c r="D274" s="7" t="s">
        <v>1111</v>
      </c>
      <c r="E274" s="10" t="s">
        <v>1118</v>
      </c>
      <c r="F274" s="9">
        <f t="shared" si="17"/>
        <v>0</v>
      </c>
      <c r="G274" s="7" t="s">
        <v>1119</v>
      </c>
      <c r="H274" s="10"/>
      <c r="I274" s="7" t="str">
        <f>IFERROR(__xludf.DUMMYFUNCTION("regexreplace(lower(C274), ""_"", """")"),"preheadsonogramresult3")</f>
        <v>preheadsonogramresult3</v>
      </c>
      <c r="J274" s="9" t="b">
        <f t="shared" si="2"/>
        <v>1</v>
      </c>
      <c r="K274" s="7" t="str">
        <f>IFERROR(__xludf.DUMMYFUNCTION("regexreplace(G274, ""_"", """")"),"preheadsonogramresult3")</f>
        <v>preheadsonogramresult3</v>
      </c>
      <c r="L274" s="10"/>
      <c r="M274" s="10"/>
    </row>
    <row r="275">
      <c r="A275" s="10"/>
      <c r="B275" s="7" t="s">
        <v>1100</v>
      </c>
      <c r="C275" s="7" t="s">
        <v>1120</v>
      </c>
      <c r="D275" s="7" t="s">
        <v>1111</v>
      </c>
      <c r="E275" s="10" t="s">
        <v>1121</v>
      </c>
      <c r="F275" s="9">
        <f t="shared" si="17"/>
        <v>0</v>
      </c>
      <c r="G275" s="7" t="s">
        <v>1122</v>
      </c>
      <c r="H275" s="10"/>
      <c r="I275" s="7" t="str">
        <f>IFERROR(__xludf.DUMMYFUNCTION("regexreplace(lower(C275), ""_"", """")"),"preheadsonogramresult4")</f>
        <v>preheadsonogramresult4</v>
      </c>
      <c r="J275" s="9" t="b">
        <f t="shared" si="2"/>
        <v>1</v>
      </c>
      <c r="K275" s="7" t="str">
        <f>IFERROR(__xludf.DUMMYFUNCTION("regexreplace(G275, ""_"", """")"),"preheadsonogramresult4")</f>
        <v>preheadsonogramresult4</v>
      </c>
      <c r="L275" s="10"/>
      <c r="M275" s="10"/>
    </row>
    <row r="276">
      <c r="A276" s="10"/>
      <c r="B276" s="7" t="s">
        <v>1100</v>
      </c>
      <c r="C276" s="7" t="s">
        <v>1123</v>
      </c>
      <c r="D276" s="7" t="s">
        <v>1111</v>
      </c>
      <c r="E276" s="10" t="s">
        <v>1124</v>
      </c>
      <c r="F276" s="9">
        <f t="shared" si="17"/>
        <v>0</v>
      </c>
      <c r="G276" s="7" t="s">
        <v>1125</v>
      </c>
      <c r="H276" s="10"/>
      <c r="I276" s="7" t="str">
        <f>IFERROR(__xludf.DUMMYFUNCTION("regexreplace(lower(C276), ""_"", """")"),"preheadsonogramresult5")</f>
        <v>preheadsonogramresult5</v>
      </c>
      <c r="J276" s="9" t="b">
        <f t="shared" si="2"/>
        <v>1</v>
      </c>
      <c r="K276" s="7" t="str">
        <f>IFERROR(__xludf.DUMMYFUNCTION("regexreplace(G276, ""_"", """")"),"preheadsonogramresult5")</f>
        <v>preheadsonogramresult5</v>
      </c>
      <c r="L276" s="10"/>
      <c r="M276" s="10"/>
    </row>
    <row r="277">
      <c r="A277" s="10"/>
      <c r="B277" s="7" t="s">
        <v>1100</v>
      </c>
      <c r="C277" s="7" t="s">
        <v>1126</v>
      </c>
      <c r="D277" s="7" t="s">
        <v>1111</v>
      </c>
      <c r="E277" s="10" t="s">
        <v>1127</v>
      </c>
      <c r="F277" s="9">
        <f t="shared" si="17"/>
        <v>0</v>
      </c>
      <c r="G277" s="7" t="s">
        <v>1128</v>
      </c>
      <c r="H277" s="10"/>
      <c r="I277" s="7" t="str">
        <f>IFERROR(__xludf.DUMMYFUNCTION("regexreplace(lower(C277), ""_"", """")"),"preheadsonogramresult6")</f>
        <v>preheadsonogramresult6</v>
      </c>
      <c r="J277" s="9" t="b">
        <f t="shared" si="2"/>
        <v>1</v>
      </c>
      <c r="K277" s="7" t="str">
        <f>IFERROR(__xludf.DUMMYFUNCTION("regexreplace(G277, ""_"", """")"),"preheadsonogramresult6")</f>
        <v>preheadsonogramresult6</v>
      </c>
      <c r="L277" s="10"/>
      <c r="M277" s="10"/>
    </row>
    <row r="278">
      <c r="A278" s="10"/>
      <c r="B278" s="7" t="s">
        <v>1100</v>
      </c>
      <c r="C278" s="7" t="s">
        <v>1129</v>
      </c>
      <c r="D278" s="7" t="s">
        <v>1111</v>
      </c>
      <c r="E278" s="10" t="s">
        <v>1130</v>
      </c>
      <c r="F278" s="9">
        <f t="shared" si="17"/>
        <v>0</v>
      </c>
      <c r="G278" s="7" t="s">
        <v>1131</v>
      </c>
      <c r="H278" s="10"/>
      <c r="I278" s="7" t="str">
        <f>IFERROR(__xludf.DUMMYFUNCTION("regexreplace(lower(C278), ""_"", """")"),"preheadsonogramresult7")</f>
        <v>preheadsonogramresult7</v>
      </c>
      <c r="J278" s="9" t="b">
        <f t="shared" si="2"/>
        <v>1</v>
      </c>
      <c r="K278" s="7" t="str">
        <f>IFERROR(__xludf.DUMMYFUNCTION("regexreplace(G278, ""_"", """")"),"preheadsonogramresult7")</f>
        <v>preheadsonogramresult7</v>
      </c>
      <c r="L278" s="10"/>
      <c r="M278" s="10"/>
    </row>
    <row r="279">
      <c r="A279" s="10"/>
      <c r="B279" s="7" t="s">
        <v>1100</v>
      </c>
      <c r="C279" s="7" t="s">
        <v>1132</v>
      </c>
      <c r="D279" s="7" t="s">
        <v>1111</v>
      </c>
      <c r="E279" s="10" t="s">
        <v>1133</v>
      </c>
      <c r="F279" s="9">
        <f t="shared" si="17"/>
        <v>0</v>
      </c>
      <c r="G279" s="7" t="s">
        <v>1134</v>
      </c>
      <c r="H279" s="10"/>
      <c r="I279" s="7" t="str">
        <f>IFERROR(__xludf.DUMMYFUNCTION("regexreplace(lower(C279), ""_"", """")"),"preheadsonogramresult8")</f>
        <v>preheadsonogramresult8</v>
      </c>
      <c r="J279" s="9" t="b">
        <f t="shared" si="2"/>
        <v>1</v>
      </c>
      <c r="K279" s="7" t="str">
        <f>IFERROR(__xludf.DUMMYFUNCTION("regexreplace(G279, ""_"", """")"),"preheadsonogramresult8")</f>
        <v>preheadsonogramresult8</v>
      </c>
      <c r="L279" s="10"/>
      <c r="M279" s="10"/>
    </row>
    <row r="280">
      <c r="A280" s="10"/>
      <c r="B280" s="7" t="s">
        <v>1100</v>
      </c>
      <c r="C280" s="7" t="s">
        <v>1135</v>
      </c>
      <c r="D280" s="7" t="s">
        <v>19</v>
      </c>
      <c r="E280" s="10" t="s">
        <v>1136</v>
      </c>
      <c r="F280" s="9">
        <f t="shared" si="17"/>
        <v>0</v>
      </c>
      <c r="G280" s="7" t="s">
        <v>1137</v>
      </c>
      <c r="H280" s="10"/>
      <c r="I280" s="7" t="str">
        <f>IFERROR(__xludf.DUMMYFUNCTION("regexreplace(lower(C280), ""_"", """")"),"preheadsonogramresulttext")</f>
        <v>preheadsonogramresulttext</v>
      </c>
      <c r="J280" s="9" t="b">
        <f t="shared" si="2"/>
        <v>1</v>
      </c>
      <c r="K280" s="7" t="str">
        <f>IFERROR(__xludf.DUMMYFUNCTION("regexreplace(G280, ""_"", """")"),"preheadsonogramresulttext")</f>
        <v>preheadsonogramresulttext</v>
      </c>
      <c r="L280" s="10"/>
      <c r="M280" s="10"/>
    </row>
    <row r="281">
      <c r="A281" s="10"/>
      <c r="B281" s="7" t="s">
        <v>1100</v>
      </c>
      <c r="C281" s="7" t="s">
        <v>1138</v>
      </c>
      <c r="D281" s="7" t="s">
        <v>43</v>
      </c>
      <c r="E281" s="10" t="s">
        <v>1139</v>
      </c>
      <c r="F281" s="9">
        <f t="shared" si="17"/>
        <v>0</v>
      </c>
      <c r="G281" s="7" t="s">
        <v>1140</v>
      </c>
      <c r="H281" s="10"/>
      <c r="I281" s="7" t="str">
        <f>IFERROR(__xludf.DUMMYFUNCTION("regexreplace(lower(C281), ""_"", """")"),"preheadct")</f>
        <v>preheadct</v>
      </c>
      <c r="J281" s="9" t="b">
        <f t="shared" si="2"/>
        <v>1</v>
      </c>
      <c r="K281" s="7" t="str">
        <f>IFERROR(__xludf.DUMMYFUNCTION("regexreplace(G281, ""_"", """")"),"preheadct")</f>
        <v>preheadct</v>
      </c>
      <c r="L281" s="10"/>
      <c r="M281" s="10"/>
    </row>
    <row r="282">
      <c r="A282" s="10"/>
      <c r="B282" s="7" t="s">
        <v>1100</v>
      </c>
      <c r="C282" s="7" t="s">
        <v>1141</v>
      </c>
      <c r="D282" s="7" t="s">
        <v>29</v>
      </c>
      <c r="E282" s="10" t="s">
        <v>1142</v>
      </c>
      <c r="F282" s="9">
        <f t="shared" si="17"/>
        <v>0</v>
      </c>
      <c r="G282" s="7" t="s">
        <v>1143</v>
      </c>
      <c r="H282" s="10"/>
      <c r="I282" s="7" t="str">
        <f>IFERROR(__xludf.DUMMYFUNCTION("regexreplace(lower(C282), ""_"", """")"),"preheadctdate")</f>
        <v>preheadctdate</v>
      </c>
      <c r="J282" s="9" t="b">
        <f t="shared" si="2"/>
        <v>1</v>
      </c>
      <c r="K282" s="7" t="str">
        <f>IFERROR(__xludf.DUMMYFUNCTION("regexreplace(G282, ""_"", """")"),"preheadctdate")</f>
        <v>preheadctdate</v>
      </c>
      <c r="L282" s="10"/>
      <c r="M282" s="10"/>
    </row>
    <row r="283">
      <c r="A283" s="10"/>
      <c r="B283" s="7" t="s">
        <v>1100</v>
      </c>
      <c r="C283" s="7" t="s">
        <v>1144</v>
      </c>
      <c r="D283" s="7" t="s">
        <v>148</v>
      </c>
      <c r="E283" s="10" t="s">
        <v>1145</v>
      </c>
      <c r="F283" s="9">
        <f t="shared" si="17"/>
        <v>0</v>
      </c>
      <c r="G283" s="7" t="s">
        <v>1146</v>
      </c>
      <c r="H283" s="10"/>
      <c r="I283" s="7" t="str">
        <f>IFERROR(__xludf.DUMMYFUNCTION("regexreplace(lower(C283), ""_"", """")"),"preheadcttime")</f>
        <v>preheadcttime</v>
      </c>
      <c r="J283" s="9" t="b">
        <f t="shared" si="2"/>
        <v>1</v>
      </c>
      <c r="K283" s="7" t="str">
        <f>IFERROR(__xludf.DUMMYFUNCTION("regexreplace(G283, ""_"", """")"),"preheadcttime")</f>
        <v>preheadcttime</v>
      </c>
      <c r="L283" s="10"/>
      <c r="M283" s="10"/>
    </row>
    <row r="284">
      <c r="A284" s="10"/>
      <c r="B284" s="7" t="s">
        <v>1100</v>
      </c>
      <c r="C284" s="7" t="s">
        <v>1147</v>
      </c>
      <c r="D284" s="7" t="s">
        <v>1111</v>
      </c>
      <c r="E284" s="10" t="s">
        <v>1148</v>
      </c>
      <c r="F284" s="9">
        <f t="shared" si="17"/>
        <v>0</v>
      </c>
      <c r="G284" s="7" t="s">
        <v>1149</v>
      </c>
      <c r="H284" s="10"/>
      <c r="I284" s="7" t="str">
        <f>IFERROR(__xludf.DUMMYFUNCTION("regexreplace(lower(C284), ""_"", """")"),"preheadctresult1")</f>
        <v>preheadctresult1</v>
      </c>
      <c r="J284" s="9" t="b">
        <f t="shared" si="2"/>
        <v>1</v>
      </c>
      <c r="K284" s="7" t="str">
        <f>IFERROR(__xludf.DUMMYFUNCTION("regexreplace(G284, ""_"", """")"),"preheadctresult1")</f>
        <v>preheadctresult1</v>
      </c>
      <c r="L284" s="10"/>
      <c r="M284" s="10"/>
    </row>
    <row r="285">
      <c r="A285" s="10"/>
      <c r="B285" s="7" t="s">
        <v>1100</v>
      </c>
      <c r="C285" s="7" t="s">
        <v>1150</v>
      </c>
      <c r="D285" s="7" t="s">
        <v>1111</v>
      </c>
      <c r="E285" s="10" t="s">
        <v>1151</v>
      </c>
      <c r="F285" s="9">
        <f t="shared" si="17"/>
        <v>0</v>
      </c>
      <c r="G285" s="7" t="s">
        <v>1152</v>
      </c>
      <c r="H285" s="10"/>
      <c r="I285" s="7" t="str">
        <f>IFERROR(__xludf.DUMMYFUNCTION("regexreplace(lower(C285), ""_"", """")"),"preheadctresult2")</f>
        <v>preheadctresult2</v>
      </c>
      <c r="J285" s="9" t="b">
        <f t="shared" si="2"/>
        <v>1</v>
      </c>
      <c r="K285" s="7" t="str">
        <f>IFERROR(__xludf.DUMMYFUNCTION("regexreplace(G285, ""_"", """")"),"preheadctresult2")</f>
        <v>preheadctresult2</v>
      </c>
      <c r="L285" s="10"/>
      <c r="M285" s="10"/>
    </row>
    <row r="286">
      <c r="A286" s="10"/>
      <c r="B286" s="7" t="s">
        <v>1100</v>
      </c>
      <c r="C286" s="7" t="s">
        <v>1153</v>
      </c>
      <c r="D286" s="7" t="s">
        <v>1111</v>
      </c>
      <c r="E286" s="10" t="s">
        <v>1154</v>
      </c>
      <c r="F286" s="9">
        <f t="shared" si="17"/>
        <v>0</v>
      </c>
      <c r="G286" s="7" t="s">
        <v>1155</v>
      </c>
      <c r="H286" s="10"/>
      <c r="I286" s="7" t="str">
        <f>IFERROR(__xludf.DUMMYFUNCTION("regexreplace(lower(C286), ""_"", """")"),"preheadctresult3")</f>
        <v>preheadctresult3</v>
      </c>
      <c r="J286" s="9" t="b">
        <f t="shared" si="2"/>
        <v>1</v>
      </c>
      <c r="K286" s="7" t="str">
        <f>IFERROR(__xludf.DUMMYFUNCTION("regexreplace(G286, ""_"", """")"),"preheadctresult3")</f>
        <v>preheadctresult3</v>
      </c>
      <c r="L286" s="10"/>
      <c r="M286" s="10"/>
    </row>
    <row r="287">
      <c r="A287" s="10"/>
      <c r="B287" s="7" t="s">
        <v>1100</v>
      </c>
      <c r="C287" s="7" t="s">
        <v>1156</v>
      </c>
      <c r="D287" s="7" t="s">
        <v>1111</v>
      </c>
      <c r="E287" s="10" t="s">
        <v>1157</v>
      </c>
      <c r="F287" s="9">
        <f t="shared" si="17"/>
        <v>0</v>
      </c>
      <c r="G287" s="7" t="s">
        <v>1158</v>
      </c>
      <c r="H287" s="10"/>
      <c r="I287" s="7" t="str">
        <f>IFERROR(__xludf.DUMMYFUNCTION("regexreplace(lower(C287), ""_"", """")"),"preheadctresult4")</f>
        <v>preheadctresult4</v>
      </c>
      <c r="J287" s="9" t="b">
        <f t="shared" si="2"/>
        <v>1</v>
      </c>
      <c r="K287" s="7" t="str">
        <f>IFERROR(__xludf.DUMMYFUNCTION("regexreplace(G287, ""_"", """")"),"preheadctresult4")</f>
        <v>preheadctresult4</v>
      </c>
      <c r="L287" s="10"/>
      <c r="M287" s="10"/>
    </row>
    <row r="288">
      <c r="A288" s="10"/>
      <c r="B288" s="7" t="s">
        <v>1100</v>
      </c>
      <c r="C288" s="7" t="s">
        <v>1159</v>
      </c>
      <c r="D288" s="7" t="s">
        <v>1111</v>
      </c>
      <c r="E288" s="10" t="s">
        <v>1160</v>
      </c>
      <c r="F288" s="9">
        <f t="shared" si="17"/>
        <v>0</v>
      </c>
      <c r="G288" s="7" t="s">
        <v>1161</v>
      </c>
      <c r="H288" s="10"/>
      <c r="I288" s="7" t="str">
        <f>IFERROR(__xludf.DUMMYFUNCTION("regexreplace(lower(C288), ""_"", """")"),"preheadctresult5")</f>
        <v>preheadctresult5</v>
      </c>
      <c r="J288" s="9" t="b">
        <f t="shared" si="2"/>
        <v>1</v>
      </c>
      <c r="K288" s="7" t="str">
        <f>IFERROR(__xludf.DUMMYFUNCTION("regexreplace(G288, ""_"", """")"),"preheadctresult5")</f>
        <v>preheadctresult5</v>
      </c>
      <c r="L288" s="10"/>
      <c r="M288" s="10"/>
    </row>
    <row r="289">
      <c r="A289" s="10"/>
      <c r="B289" s="7" t="s">
        <v>1100</v>
      </c>
      <c r="C289" s="7" t="s">
        <v>1162</v>
      </c>
      <c r="D289" s="7" t="s">
        <v>1111</v>
      </c>
      <c r="E289" s="10" t="s">
        <v>1163</v>
      </c>
      <c r="F289" s="9">
        <f t="shared" si="17"/>
        <v>0</v>
      </c>
      <c r="G289" s="7" t="s">
        <v>1164</v>
      </c>
      <c r="H289" s="10"/>
      <c r="I289" s="7" t="str">
        <f>IFERROR(__xludf.DUMMYFUNCTION("regexreplace(lower(C289), ""_"", """")"),"preheadctresult6")</f>
        <v>preheadctresult6</v>
      </c>
      <c r="J289" s="9" t="b">
        <f t="shared" si="2"/>
        <v>1</v>
      </c>
      <c r="K289" s="7" t="str">
        <f>IFERROR(__xludf.DUMMYFUNCTION("regexreplace(G289, ""_"", """")"),"preheadctresult6")</f>
        <v>preheadctresult6</v>
      </c>
      <c r="L289" s="10"/>
      <c r="M289" s="10"/>
    </row>
    <row r="290">
      <c r="A290" s="10"/>
      <c r="B290" s="7" t="s">
        <v>1100</v>
      </c>
      <c r="C290" s="7" t="s">
        <v>1165</v>
      </c>
      <c r="D290" s="7" t="s">
        <v>1111</v>
      </c>
      <c r="E290" s="10" t="s">
        <v>1166</v>
      </c>
      <c r="F290" s="9">
        <f t="shared" si="17"/>
        <v>0</v>
      </c>
      <c r="G290" s="7" t="s">
        <v>1167</v>
      </c>
      <c r="H290" s="10"/>
      <c r="I290" s="7" t="str">
        <f>IFERROR(__xludf.DUMMYFUNCTION("regexreplace(lower(C290), ""_"", """")"),"preheadctresult7")</f>
        <v>preheadctresult7</v>
      </c>
      <c r="J290" s="9" t="b">
        <f t="shared" si="2"/>
        <v>1</v>
      </c>
      <c r="K290" s="7" t="str">
        <f>IFERROR(__xludf.DUMMYFUNCTION("regexreplace(G290, ""_"", """")"),"preheadctresult7")</f>
        <v>preheadctresult7</v>
      </c>
      <c r="L290" s="10"/>
      <c r="M290" s="10"/>
    </row>
    <row r="291">
      <c r="A291" s="10"/>
      <c r="B291" s="7" t="s">
        <v>1100</v>
      </c>
      <c r="C291" s="7" t="s">
        <v>1168</v>
      </c>
      <c r="D291" s="7" t="s">
        <v>1111</v>
      </c>
      <c r="E291" s="10" t="s">
        <v>1169</v>
      </c>
      <c r="F291" s="9">
        <f t="shared" si="17"/>
        <v>0</v>
      </c>
      <c r="G291" s="7" t="s">
        <v>1170</v>
      </c>
      <c r="H291" s="10"/>
      <c r="I291" s="7" t="str">
        <f>IFERROR(__xludf.DUMMYFUNCTION("regexreplace(lower(C291), ""_"", """")"),"preheadctresult8")</f>
        <v>preheadctresult8</v>
      </c>
      <c r="J291" s="9" t="b">
        <f t="shared" si="2"/>
        <v>1</v>
      </c>
      <c r="K291" s="7" t="str">
        <f>IFERROR(__xludf.DUMMYFUNCTION("regexreplace(G291, ""_"", """")"),"preheadctresult8")</f>
        <v>preheadctresult8</v>
      </c>
      <c r="L291" s="10"/>
      <c r="M291" s="10"/>
    </row>
    <row r="292">
      <c r="A292" s="10"/>
      <c r="B292" s="7" t="s">
        <v>1100</v>
      </c>
      <c r="C292" s="7" t="s">
        <v>1171</v>
      </c>
      <c r="D292" s="7" t="s">
        <v>19</v>
      </c>
      <c r="E292" s="10" t="s">
        <v>1172</v>
      </c>
      <c r="F292" s="9">
        <f t="shared" si="17"/>
        <v>0</v>
      </c>
      <c r="G292" s="7" t="s">
        <v>1173</v>
      </c>
      <c r="H292" s="10"/>
      <c r="I292" s="7" t="str">
        <f>IFERROR(__xludf.DUMMYFUNCTION("regexreplace(lower(C292), ""_"", """")"),"preheadctresulttext")</f>
        <v>preheadctresulttext</v>
      </c>
      <c r="J292" s="9" t="b">
        <f t="shared" si="2"/>
        <v>1</v>
      </c>
      <c r="K292" s="7" t="str">
        <f>IFERROR(__xludf.DUMMYFUNCTION("regexreplace(G292, ""_"", """")"),"preheadctresulttext")</f>
        <v>preheadctresulttext</v>
      </c>
      <c r="L292" s="10"/>
      <c r="M292" s="10"/>
    </row>
    <row r="293">
      <c r="A293" s="10"/>
      <c r="B293" s="7" t="s">
        <v>1100</v>
      </c>
      <c r="C293" s="7" t="s">
        <v>1174</v>
      </c>
      <c r="D293" s="7" t="s">
        <v>43</v>
      </c>
      <c r="E293" s="10" t="s">
        <v>1175</v>
      </c>
      <c r="F293" s="9">
        <f t="shared" si="17"/>
        <v>0</v>
      </c>
      <c r="G293" s="7" t="s">
        <v>1176</v>
      </c>
      <c r="H293" s="10"/>
      <c r="I293" s="7" t="str">
        <f>IFERROR(__xludf.DUMMYFUNCTION("regexreplace(lower(C293), ""_"", """")"),"prebrainmri")</f>
        <v>prebrainmri</v>
      </c>
      <c r="J293" s="9" t="b">
        <f t="shared" si="2"/>
        <v>1</v>
      </c>
      <c r="K293" s="7" t="str">
        <f>IFERROR(__xludf.DUMMYFUNCTION("regexreplace(G293, ""_"", """")"),"prebrainmri")</f>
        <v>prebrainmri</v>
      </c>
      <c r="L293" s="10"/>
      <c r="M293" s="10"/>
    </row>
    <row r="294">
      <c r="A294" s="10"/>
      <c r="B294" s="7" t="s">
        <v>1100</v>
      </c>
      <c r="C294" s="7" t="s">
        <v>1177</v>
      </c>
      <c r="D294" s="7" t="s">
        <v>29</v>
      </c>
      <c r="E294" s="10" t="s">
        <v>1178</v>
      </c>
      <c r="F294" s="9">
        <f t="shared" si="17"/>
        <v>0</v>
      </c>
      <c r="G294" s="7" t="s">
        <v>1179</v>
      </c>
      <c r="H294" s="10"/>
      <c r="I294" s="7" t="str">
        <f>IFERROR(__xludf.DUMMYFUNCTION("regexreplace(lower(C294), ""_"", """")"),"prebrainmridate")</f>
        <v>prebrainmridate</v>
      </c>
      <c r="J294" s="9" t="b">
        <f t="shared" si="2"/>
        <v>1</v>
      </c>
      <c r="K294" s="7" t="str">
        <f>IFERROR(__xludf.DUMMYFUNCTION("regexreplace(G294, ""_"", """")"),"prebrainmridate")</f>
        <v>prebrainmridate</v>
      </c>
      <c r="L294" s="10"/>
      <c r="M294" s="10"/>
    </row>
    <row r="295">
      <c r="A295" s="10"/>
      <c r="B295" s="7" t="s">
        <v>1100</v>
      </c>
      <c r="C295" s="7" t="s">
        <v>1180</v>
      </c>
      <c r="D295" s="7" t="s">
        <v>148</v>
      </c>
      <c r="E295" s="10" t="s">
        <v>1181</v>
      </c>
      <c r="F295" s="9">
        <f t="shared" si="17"/>
        <v>0</v>
      </c>
      <c r="G295" s="7" t="s">
        <v>1182</v>
      </c>
      <c r="H295" s="10"/>
      <c r="I295" s="7" t="str">
        <f>IFERROR(__xludf.DUMMYFUNCTION("regexreplace(lower(C295), ""_"", """")"),"prebrainmritime")</f>
        <v>prebrainmritime</v>
      </c>
      <c r="J295" s="9" t="b">
        <f t="shared" si="2"/>
        <v>1</v>
      </c>
      <c r="K295" s="7" t="str">
        <f>IFERROR(__xludf.DUMMYFUNCTION("regexreplace(G295, ""_"", """")"),"prebrainmritime")</f>
        <v>prebrainmritime</v>
      </c>
      <c r="L295" s="10"/>
      <c r="M295" s="10"/>
    </row>
    <row r="296">
      <c r="A296" s="10"/>
      <c r="B296" s="7" t="s">
        <v>1100</v>
      </c>
      <c r="C296" s="7" t="s">
        <v>1183</v>
      </c>
      <c r="D296" s="7" t="s">
        <v>1111</v>
      </c>
      <c r="E296" s="10" t="s">
        <v>1184</v>
      </c>
      <c r="F296" s="9">
        <f t="shared" si="17"/>
        <v>0</v>
      </c>
      <c r="G296" s="7" t="s">
        <v>1185</v>
      </c>
      <c r="H296" s="10"/>
      <c r="I296" s="7" t="str">
        <f>IFERROR(__xludf.DUMMYFUNCTION("regexreplace(lower(C296), ""_"", """")"),"prebrainmriresult1")</f>
        <v>prebrainmriresult1</v>
      </c>
      <c r="J296" s="9" t="b">
        <f t="shared" si="2"/>
        <v>1</v>
      </c>
      <c r="K296" s="7" t="str">
        <f>IFERROR(__xludf.DUMMYFUNCTION("regexreplace(G296, ""_"", """")"),"prebrainmriresult1")</f>
        <v>prebrainmriresult1</v>
      </c>
      <c r="L296" s="10"/>
      <c r="M296" s="10"/>
    </row>
    <row r="297">
      <c r="A297" s="10"/>
      <c r="B297" s="7" t="s">
        <v>1100</v>
      </c>
      <c r="C297" s="7" t="s">
        <v>1186</v>
      </c>
      <c r="D297" s="7" t="s">
        <v>1111</v>
      </c>
      <c r="E297" s="10" t="s">
        <v>1187</v>
      </c>
      <c r="F297" s="9">
        <f t="shared" si="17"/>
        <v>0</v>
      </c>
      <c r="G297" s="7" t="s">
        <v>1188</v>
      </c>
      <c r="H297" s="10"/>
      <c r="I297" s="7" t="str">
        <f>IFERROR(__xludf.DUMMYFUNCTION("regexreplace(lower(C297), ""_"", """")"),"prebrainmriresult2")</f>
        <v>prebrainmriresult2</v>
      </c>
      <c r="J297" s="9" t="b">
        <f t="shared" si="2"/>
        <v>1</v>
      </c>
      <c r="K297" s="7" t="str">
        <f>IFERROR(__xludf.DUMMYFUNCTION("regexreplace(G297, ""_"", """")"),"prebrainmriresult2")</f>
        <v>prebrainmriresult2</v>
      </c>
      <c r="L297" s="10"/>
      <c r="M297" s="10"/>
    </row>
    <row r="298">
      <c r="A298" s="10"/>
      <c r="B298" s="7" t="s">
        <v>1100</v>
      </c>
      <c r="C298" s="7" t="s">
        <v>1189</v>
      </c>
      <c r="D298" s="7" t="s">
        <v>1111</v>
      </c>
      <c r="E298" s="10" t="s">
        <v>1190</v>
      </c>
      <c r="F298" s="9">
        <f t="shared" si="17"/>
        <v>0</v>
      </c>
      <c r="G298" s="7" t="s">
        <v>1191</v>
      </c>
      <c r="H298" s="10"/>
      <c r="I298" s="7" t="str">
        <f>IFERROR(__xludf.DUMMYFUNCTION("regexreplace(lower(C298), ""_"", """")"),"prebrainmriresult3")</f>
        <v>prebrainmriresult3</v>
      </c>
      <c r="J298" s="9" t="b">
        <f t="shared" si="2"/>
        <v>1</v>
      </c>
      <c r="K298" s="7" t="str">
        <f>IFERROR(__xludf.DUMMYFUNCTION("regexreplace(G298, ""_"", """")"),"prebrainmriresult3")</f>
        <v>prebrainmriresult3</v>
      </c>
      <c r="L298" s="10"/>
      <c r="M298" s="10"/>
    </row>
    <row r="299">
      <c r="A299" s="10"/>
      <c r="B299" s="7" t="s">
        <v>1100</v>
      </c>
      <c r="C299" s="7" t="s">
        <v>1192</v>
      </c>
      <c r="D299" s="7" t="s">
        <v>1111</v>
      </c>
      <c r="E299" s="10" t="s">
        <v>1193</v>
      </c>
      <c r="F299" s="9">
        <f t="shared" si="17"/>
        <v>0</v>
      </c>
      <c r="G299" s="7" t="s">
        <v>1194</v>
      </c>
      <c r="H299" s="10"/>
      <c r="I299" s="7" t="str">
        <f>IFERROR(__xludf.DUMMYFUNCTION("regexreplace(lower(C299), ""_"", """")"),"prebrainmriresult4")</f>
        <v>prebrainmriresult4</v>
      </c>
      <c r="J299" s="9" t="b">
        <f t="shared" si="2"/>
        <v>1</v>
      </c>
      <c r="K299" s="7" t="str">
        <f>IFERROR(__xludf.DUMMYFUNCTION("regexreplace(G299, ""_"", """")"),"prebrainmriresult4")</f>
        <v>prebrainmriresult4</v>
      </c>
      <c r="L299" s="10"/>
      <c r="M299" s="10"/>
    </row>
    <row r="300">
      <c r="A300" s="10"/>
      <c r="B300" s="7" t="s">
        <v>1100</v>
      </c>
      <c r="C300" s="7" t="s">
        <v>1195</v>
      </c>
      <c r="D300" s="7" t="s">
        <v>1111</v>
      </c>
      <c r="E300" s="10" t="s">
        <v>1196</v>
      </c>
      <c r="F300" s="9">
        <f t="shared" si="17"/>
        <v>0</v>
      </c>
      <c r="G300" s="7" t="s">
        <v>1197</v>
      </c>
      <c r="H300" s="10"/>
      <c r="I300" s="7" t="str">
        <f>IFERROR(__xludf.DUMMYFUNCTION("regexreplace(lower(C300), ""_"", """")"),"prebrainmriresult5")</f>
        <v>prebrainmriresult5</v>
      </c>
      <c r="J300" s="9" t="b">
        <f t="shared" si="2"/>
        <v>1</v>
      </c>
      <c r="K300" s="7" t="str">
        <f>IFERROR(__xludf.DUMMYFUNCTION("regexreplace(G300, ""_"", """")"),"prebrainmriresult5")</f>
        <v>prebrainmriresult5</v>
      </c>
      <c r="L300" s="10"/>
      <c r="M300" s="10"/>
    </row>
    <row r="301">
      <c r="A301" s="10"/>
      <c r="B301" s="7" t="s">
        <v>1100</v>
      </c>
      <c r="C301" s="7" t="s">
        <v>1198</v>
      </c>
      <c r="D301" s="7" t="s">
        <v>1111</v>
      </c>
      <c r="E301" s="10" t="s">
        <v>1199</v>
      </c>
      <c r="F301" s="9">
        <f t="shared" si="17"/>
        <v>0</v>
      </c>
      <c r="G301" s="7" t="s">
        <v>1200</v>
      </c>
      <c r="H301" s="10"/>
      <c r="I301" s="7" t="str">
        <f>IFERROR(__xludf.DUMMYFUNCTION("regexreplace(lower(C301), ""_"", """")"),"prebrainmriresult6")</f>
        <v>prebrainmriresult6</v>
      </c>
      <c r="J301" s="9" t="b">
        <f t="shared" si="2"/>
        <v>1</v>
      </c>
      <c r="K301" s="7" t="str">
        <f>IFERROR(__xludf.DUMMYFUNCTION("regexreplace(G301, ""_"", """")"),"prebrainmriresult6")</f>
        <v>prebrainmriresult6</v>
      </c>
      <c r="L301" s="10"/>
      <c r="M301" s="10"/>
    </row>
    <row r="302">
      <c r="A302" s="10"/>
      <c r="B302" s="7" t="s">
        <v>1100</v>
      </c>
      <c r="C302" s="7" t="s">
        <v>1201</v>
      </c>
      <c r="D302" s="7" t="s">
        <v>1111</v>
      </c>
      <c r="E302" s="10" t="s">
        <v>1202</v>
      </c>
      <c r="F302" s="9">
        <f t="shared" si="17"/>
        <v>0</v>
      </c>
      <c r="G302" s="7" t="s">
        <v>1203</v>
      </c>
      <c r="H302" s="10"/>
      <c r="I302" s="7" t="str">
        <f>IFERROR(__xludf.DUMMYFUNCTION("regexreplace(lower(C302), ""_"", """")"),"prebrainmriresult7")</f>
        <v>prebrainmriresult7</v>
      </c>
      <c r="J302" s="9" t="b">
        <f t="shared" si="2"/>
        <v>1</v>
      </c>
      <c r="K302" s="7" t="str">
        <f>IFERROR(__xludf.DUMMYFUNCTION("regexreplace(G302, ""_"", """")"),"prebrainmriresult7")</f>
        <v>prebrainmriresult7</v>
      </c>
      <c r="L302" s="10"/>
      <c r="M302" s="10"/>
    </row>
    <row r="303">
      <c r="A303" s="10"/>
      <c r="B303" s="7" t="s">
        <v>1100</v>
      </c>
      <c r="C303" s="7" t="s">
        <v>1204</v>
      </c>
      <c r="D303" s="7" t="s">
        <v>1111</v>
      </c>
      <c r="E303" s="10" t="s">
        <v>1205</v>
      </c>
      <c r="F303" s="9">
        <f t="shared" si="17"/>
        <v>0</v>
      </c>
      <c r="G303" s="7" t="s">
        <v>1206</v>
      </c>
      <c r="H303" s="10"/>
      <c r="I303" s="7" t="str">
        <f>IFERROR(__xludf.DUMMYFUNCTION("regexreplace(lower(C303), ""_"", """")"),"prebrainmriresult8")</f>
        <v>prebrainmriresult8</v>
      </c>
      <c r="J303" s="9" t="b">
        <f t="shared" si="2"/>
        <v>1</v>
      </c>
      <c r="K303" s="7" t="str">
        <f>IFERROR(__xludf.DUMMYFUNCTION("regexreplace(G303, ""_"", """")"),"prebrainmriresult8")</f>
        <v>prebrainmriresult8</v>
      </c>
      <c r="L303" s="10"/>
      <c r="M303" s="10"/>
    </row>
    <row r="304">
      <c r="A304" s="10"/>
      <c r="B304" s="7" t="s">
        <v>1100</v>
      </c>
      <c r="C304" s="7" t="s">
        <v>1207</v>
      </c>
      <c r="D304" s="7" t="s">
        <v>19</v>
      </c>
      <c r="E304" s="10" t="s">
        <v>1208</v>
      </c>
      <c r="F304" s="9">
        <f t="shared" si="17"/>
        <v>0</v>
      </c>
      <c r="G304" s="7" t="s">
        <v>1209</v>
      </c>
      <c r="H304" s="10"/>
      <c r="I304" s="7" t="str">
        <f>IFERROR(__xludf.DUMMYFUNCTION("regexreplace(lower(C304), ""_"", """")"),"prebrainmriresulttext")</f>
        <v>prebrainmriresulttext</v>
      </c>
      <c r="J304" s="9" t="b">
        <f t="shared" si="2"/>
        <v>1</v>
      </c>
      <c r="K304" s="7" t="str">
        <f>IFERROR(__xludf.DUMMYFUNCTION("regexreplace(G304, ""_"", """")"),"prebrainmriresulttext")</f>
        <v>prebrainmriresulttext</v>
      </c>
      <c r="L304" s="10"/>
      <c r="M304" s="10"/>
    </row>
    <row r="305">
      <c r="A305" s="12"/>
      <c r="B305" s="12"/>
      <c r="C305" s="13"/>
      <c r="D305" s="12"/>
      <c r="E305" s="12"/>
      <c r="F305" s="12"/>
      <c r="G305" s="12"/>
      <c r="H305" s="12"/>
      <c r="I305" s="13" t="str">
        <f>IFERROR(__xludf.DUMMYFUNCTION("regexreplace(lower(C305), ""_"", """")"),"")</f>
        <v/>
      </c>
      <c r="J305" s="14" t="str">
        <f t="shared" si="2"/>
        <v/>
      </c>
      <c r="K305" s="13" t="str">
        <f>IFERROR(__xludf.DUMMYFUNCTION("regexreplace(G305, ""_"", """")"),"")</f>
        <v/>
      </c>
      <c r="L305" s="12"/>
      <c r="M305" s="12"/>
    </row>
    <row r="306">
      <c r="A306" s="5" t="s">
        <v>13</v>
      </c>
      <c r="B306" s="5" t="s">
        <v>1210</v>
      </c>
      <c r="C306" s="7" t="s">
        <v>1211</v>
      </c>
      <c r="D306" s="7" t="s">
        <v>43</v>
      </c>
      <c r="E306" s="10" t="s">
        <v>1212</v>
      </c>
      <c r="F306" s="9">
        <f t="shared" ref="F306:F333" si="18">counta(L306:M306)</f>
        <v>2</v>
      </c>
      <c r="G306" s="7" t="s">
        <v>1213</v>
      </c>
      <c r="H306" s="10"/>
      <c r="I306" s="7" t="str">
        <f>IFERROR(__xludf.DUMMYFUNCTION("regexreplace(lower(C306), ""_"", """")"),"preneuroexam")</f>
        <v>preneuroexam</v>
      </c>
      <c r="J306" s="9" t="b">
        <f t="shared" si="2"/>
        <v>1</v>
      </c>
      <c r="K306" s="7" t="str">
        <f>IFERROR(__xludf.DUMMYFUNCTION("regexreplace(G306, ""_"", """")"),"preneuroexam")</f>
        <v>preneuroexam</v>
      </c>
      <c r="L306" s="10" t="s">
        <v>1214</v>
      </c>
      <c r="M306" s="10" t="s">
        <v>1215</v>
      </c>
    </row>
    <row r="307">
      <c r="A307" s="10"/>
      <c r="B307" s="5" t="s">
        <v>1210</v>
      </c>
      <c r="C307" s="7" t="s">
        <v>1216</v>
      </c>
      <c r="D307" s="7" t="s">
        <v>1217</v>
      </c>
      <c r="E307" s="10" t="s">
        <v>1218</v>
      </c>
      <c r="F307" s="9">
        <f t="shared" si="18"/>
        <v>2</v>
      </c>
      <c r="G307" s="7" t="s">
        <v>1219</v>
      </c>
      <c r="H307" s="10"/>
      <c r="I307" s="7" t="str">
        <f>IFERROR(__xludf.DUMMYFUNCTION("regexreplace(lower(C307), ""_"", """")"),"prenoneuroexamreason")</f>
        <v>prenoneuroexamreason</v>
      </c>
      <c r="J307" s="9" t="b">
        <f t="shared" si="2"/>
        <v>1</v>
      </c>
      <c r="K307" s="7" t="str">
        <f>IFERROR(__xludf.DUMMYFUNCTION("regexreplace(G307, ""_"", """")"),"prenoneuroexamreason")</f>
        <v>prenoneuroexamreason</v>
      </c>
      <c r="L307" s="10" t="s">
        <v>1220</v>
      </c>
      <c r="M307" s="10" t="s">
        <v>1221</v>
      </c>
    </row>
    <row r="308">
      <c r="A308" s="10"/>
      <c r="B308" s="5" t="s">
        <v>1210</v>
      </c>
      <c r="C308" s="7" t="s">
        <v>1222</v>
      </c>
      <c r="D308" s="7" t="s">
        <v>43</v>
      </c>
      <c r="E308" s="10" t="s">
        <v>1223</v>
      </c>
      <c r="F308" s="9">
        <f t="shared" si="18"/>
        <v>2</v>
      </c>
      <c r="G308" s="7" t="s">
        <v>1224</v>
      </c>
      <c r="H308" s="7"/>
      <c r="I308" s="7" t="str">
        <f>IFERROR(__xludf.DUMMYFUNCTION("regexreplace(lower(C308), ""_"", """")"),"preneuroexamsignmoderateseverehie3category")</f>
        <v>preneuroexamsignmoderateseverehie3category</v>
      </c>
      <c r="J308" s="9" t="b">
        <f t="shared" si="2"/>
        <v>1</v>
      </c>
      <c r="K308" s="7" t="str">
        <f>IFERROR(__xludf.DUMMYFUNCTION("regexreplace(G308, ""_"", """")"),"preneuroexamsignmoderateseverehie3category")</f>
        <v>preneuroexamsignmoderateseverehie3category</v>
      </c>
      <c r="L308" s="10" t="s">
        <v>1225</v>
      </c>
      <c r="M308" s="10" t="s">
        <v>1226</v>
      </c>
    </row>
    <row r="309">
      <c r="A309" s="10"/>
      <c r="B309" s="5" t="s">
        <v>1210</v>
      </c>
      <c r="C309" s="7" t="s">
        <v>1227</v>
      </c>
      <c r="D309" s="7" t="s">
        <v>1228</v>
      </c>
      <c r="E309" s="10" t="s">
        <v>1229</v>
      </c>
      <c r="F309" s="9">
        <f t="shared" si="18"/>
        <v>2</v>
      </c>
      <c r="G309" s="7" t="s">
        <v>1230</v>
      </c>
      <c r="H309" s="10"/>
      <c r="I309" s="7" t="str">
        <f>IFERROR(__xludf.DUMMYFUNCTION("regexreplace(lower(C309), ""_"", """")"),"preneuroexamlevelconsciousness")</f>
        <v>preneuroexamlevelconsciousness</v>
      </c>
      <c r="J309" s="9" t="b">
        <f t="shared" si="2"/>
        <v>1</v>
      </c>
      <c r="K309" s="7" t="str">
        <f>IFERROR(__xludf.DUMMYFUNCTION("regexreplace(G309, ""_"", """")"),"preneuroexamlevelconsciousness")</f>
        <v>preneuroexamlevelconsciousness</v>
      </c>
      <c r="L309" s="10" t="s">
        <v>1231</v>
      </c>
      <c r="M309" s="10" t="s">
        <v>1232</v>
      </c>
    </row>
    <row r="310">
      <c r="A310" s="10"/>
      <c r="B310" s="5" t="s">
        <v>1210</v>
      </c>
      <c r="C310" s="7" t="s">
        <v>1233</v>
      </c>
      <c r="D310" s="7" t="s">
        <v>1234</v>
      </c>
      <c r="E310" s="10" t="s">
        <v>1235</v>
      </c>
      <c r="F310" s="9">
        <f t="shared" si="18"/>
        <v>2</v>
      </c>
      <c r="G310" s="7" t="s">
        <v>1236</v>
      </c>
      <c r="H310" s="10"/>
      <c r="I310" s="7" t="str">
        <f>IFERROR(__xludf.DUMMYFUNCTION("regexreplace(lower(C310), ""_"", """")"),"preneuroexamspontaneousactivity")</f>
        <v>preneuroexamspontaneousactivity</v>
      </c>
      <c r="J310" s="9" t="b">
        <f t="shared" si="2"/>
        <v>1</v>
      </c>
      <c r="K310" s="7" t="str">
        <f>IFERROR(__xludf.DUMMYFUNCTION("regexreplace(G310, ""_"", """")"),"preneuroexamspontaneousactivity")</f>
        <v>preneuroexamspontaneousactivity</v>
      </c>
      <c r="L310" s="10" t="s">
        <v>1237</v>
      </c>
      <c r="M310" s="10" t="s">
        <v>1238</v>
      </c>
    </row>
    <row r="311">
      <c r="A311" s="10"/>
      <c r="B311" s="5" t="s">
        <v>1210</v>
      </c>
      <c r="C311" s="7" t="s">
        <v>1239</v>
      </c>
      <c r="D311" s="7" t="s">
        <v>1240</v>
      </c>
      <c r="E311" s="10" t="s">
        <v>1241</v>
      </c>
      <c r="F311" s="9">
        <f t="shared" si="18"/>
        <v>2</v>
      </c>
      <c r="G311" s="7" t="s">
        <v>1242</v>
      </c>
      <c r="H311" s="10"/>
      <c r="I311" s="7" t="str">
        <f>IFERROR(__xludf.DUMMYFUNCTION("regexreplace(lower(C311), ""_"", """")"),"preneuroexamposture")</f>
        <v>preneuroexamposture</v>
      </c>
      <c r="J311" s="9" t="b">
        <f t="shared" si="2"/>
        <v>1</v>
      </c>
      <c r="K311" s="7" t="str">
        <f>IFERROR(__xludf.DUMMYFUNCTION("regexreplace(G311, ""_"", """")"),"preneuroexamposture")</f>
        <v>preneuroexamposture</v>
      </c>
      <c r="L311" s="10" t="s">
        <v>1243</v>
      </c>
      <c r="M311" s="10" t="s">
        <v>1244</v>
      </c>
    </row>
    <row r="312">
      <c r="A312" s="10"/>
      <c r="B312" s="5" t="s">
        <v>1210</v>
      </c>
      <c r="C312" s="11" t="s">
        <v>1245</v>
      </c>
      <c r="D312" s="7" t="s">
        <v>1246</v>
      </c>
      <c r="E312" s="15" t="s">
        <v>1247</v>
      </c>
      <c r="F312" s="9">
        <f t="shared" si="18"/>
        <v>2</v>
      </c>
      <c r="G312" s="7" t="s">
        <v>1248</v>
      </c>
      <c r="H312" s="10"/>
      <c r="I312" s="7" t="str">
        <f>IFERROR(__xludf.DUMMYFUNCTION("regexreplace(lower(C312), ""_"", """")"),"preneuroexamtone")</f>
        <v>preneuroexamtone</v>
      </c>
      <c r="J312" s="9" t="b">
        <f t="shared" si="2"/>
        <v>1</v>
      </c>
      <c r="K312" s="7" t="str">
        <f>IFERROR(__xludf.DUMMYFUNCTION("regexreplace(G312, ""_"", """")"),"preneuroexamtone")</f>
        <v>preneuroexamtone</v>
      </c>
      <c r="L312" s="10" t="s">
        <v>1249</v>
      </c>
      <c r="M312" s="10" t="s">
        <v>1250</v>
      </c>
    </row>
    <row r="313">
      <c r="A313" s="10"/>
      <c r="B313" s="5" t="s">
        <v>1210</v>
      </c>
      <c r="C313" s="7" t="s">
        <v>1251</v>
      </c>
      <c r="D313" s="7" t="s">
        <v>1252</v>
      </c>
      <c r="E313" s="10" t="s">
        <v>1253</v>
      </c>
      <c r="F313" s="9">
        <f t="shared" si="18"/>
        <v>2</v>
      </c>
      <c r="G313" s="7" t="s">
        <v>1254</v>
      </c>
      <c r="H313" s="10"/>
      <c r="I313" s="7" t="str">
        <f>IFERROR(__xludf.DUMMYFUNCTION("regexreplace(lower(C313), ""_"", """")"),"preneuroexamsuck")</f>
        <v>preneuroexamsuck</v>
      </c>
      <c r="J313" s="9" t="b">
        <f t="shared" si="2"/>
        <v>1</v>
      </c>
      <c r="K313" s="7" t="str">
        <f>IFERROR(__xludf.DUMMYFUNCTION("regexreplace(G313, ""_"", """")"),"preneuroexamsuck")</f>
        <v>preneuroexamsuck</v>
      </c>
      <c r="L313" s="10" t="s">
        <v>1255</v>
      </c>
      <c r="M313" s="10" t="s">
        <v>1256</v>
      </c>
    </row>
    <row r="314">
      <c r="A314" s="10"/>
      <c r="B314" s="5" t="s">
        <v>1210</v>
      </c>
      <c r="C314" s="7" t="s">
        <v>1257</v>
      </c>
      <c r="D314" s="7" t="s">
        <v>1258</v>
      </c>
      <c r="E314" s="10" t="s">
        <v>1259</v>
      </c>
      <c r="F314" s="9">
        <f t="shared" si="18"/>
        <v>2</v>
      </c>
      <c r="G314" s="7" t="s">
        <v>1260</v>
      </c>
      <c r="H314" s="10"/>
      <c r="I314" s="7" t="str">
        <f>IFERROR(__xludf.DUMMYFUNCTION("regexreplace(lower(C314), ""_"", """")"),"preneuroexammoro")</f>
        <v>preneuroexammoro</v>
      </c>
      <c r="J314" s="9" t="b">
        <f t="shared" si="2"/>
        <v>1</v>
      </c>
      <c r="K314" s="7" t="str">
        <f>IFERROR(__xludf.DUMMYFUNCTION("regexreplace(G314, ""_"", """")"),"preneuroexammoro")</f>
        <v>preneuroexammoro</v>
      </c>
      <c r="L314" s="10" t="s">
        <v>1261</v>
      </c>
      <c r="M314" s="10" t="s">
        <v>1262</v>
      </c>
    </row>
    <row r="315">
      <c r="A315" s="10"/>
      <c r="B315" s="5" t="s">
        <v>1210</v>
      </c>
      <c r="C315" s="7" t="s">
        <v>1263</v>
      </c>
      <c r="D315" s="7" t="s">
        <v>1264</v>
      </c>
      <c r="E315" s="10" t="s">
        <v>1265</v>
      </c>
      <c r="F315" s="9">
        <f t="shared" si="18"/>
        <v>2</v>
      </c>
      <c r="G315" s="7" t="s">
        <v>1266</v>
      </c>
      <c r="H315" s="10"/>
      <c r="I315" s="7" t="str">
        <f>IFERROR(__xludf.DUMMYFUNCTION("regexreplace(lower(C315), ""_"", """")"),"preneuroexampupils")</f>
        <v>preneuroexampupils</v>
      </c>
      <c r="J315" s="9" t="b">
        <f t="shared" si="2"/>
        <v>1</v>
      </c>
      <c r="K315" s="7" t="str">
        <f>IFERROR(__xludf.DUMMYFUNCTION("regexreplace(G315, ""_"", """")"),"preneuroexampupils")</f>
        <v>preneuroexampupils</v>
      </c>
      <c r="L315" s="10" t="s">
        <v>1267</v>
      </c>
      <c r="M315" s="10" t="s">
        <v>1268</v>
      </c>
    </row>
    <row r="316">
      <c r="A316" s="10"/>
      <c r="B316" s="5" t="s">
        <v>1210</v>
      </c>
      <c r="C316" s="7" t="s">
        <v>1269</v>
      </c>
      <c r="D316" s="7" t="s">
        <v>1270</v>
      </c>
      <c r="E316" s="10" t="s">
        <v>1271</v>
      </c>
      <c r="F316" s="9">
        <f t="shared" si="18"/>
        <v>2</v>
      </c>
      <c r="G316" s="7" t="s">
        <v>1272</v>
      </c>
      <c r="H316" s="10"/>
      <c r="I316" s="7" t="str">
        <f>IFERROR(__xludf.DUMMYFUNCTION("regexreplace(lower(C316), ""_"", """")"),"preneuroexamheartrate")</f>
        <v>preneuroexamheartrate</v>
      </c>
      <c r="J316" s="9" t="b">
        <f t="shared" si="2"/>
        <v>1</v>
      </c>
      <c r="K316" s="7" t="str">
        <f>IFERROR(__xludf.DUMMYFUNCTION("regexreplace(G316, ""_"", """")"),"preneuroexamheartrate")</f>
        <v>preneuroexamheartrate</v>
      </c>
      <c r="L316" s="10" t="s">
        <v>1273</v>
      </c>
      <c r="M316" s="10" t="s">
        <v>1274</v>
      </c>
    </row>
    <row r="317">
      <c r="A317" s="10"/>
      <c r="B317" s="5" t="s">
        <v>1210</v>
      </c>
      <c r="C317" s="7" t="s">
        <v>1275</v>
      </c>
      <c r="D317" s="7" t="s">
        <v>1276</v>
      </c>
      <c r="E317" s="10" t="s">
        <v>1277</v>
      </c>
      <c r="F317" s="9">
        <f t="shared" si="18"/>
        <v>2</v>
      </c>
      <c r="G317" s="7" t="s">
        <v>1278</v>
      </c>
      <c r="H317" s="10"/>
      <c r="I317" s="7" t="str">
        <f>IFERROR(__xludf.DUMMYFUNCTION("regexreplace(lower(C317), ""_"", """")"),"preneuroexamrespiration")</f>
        <v>preneuroexamrespiration</v>
      </c>
      <c r="J317" s="9" t="b">
        <f t="shared" si="2"/>
        <v>1</v>
      </c>
      <c r="K317" s="7" t="str">
        <f>IFERROR(__xludf.DUMMYFUNCTION("regexreplace(G317, ""_"", """")"),"preneuroexamrespiration")</f>
        <v>preneuroexamrespiration</v>
      </c>
      <c r="L317" s="10" t="s">
        <v>1279</v>
      </c>
      <c r="M317" s="10" t="s">
        <v>1280</v>
      </c>
    </row>
    <row r="318">
      <c r="A318" s="10"/>
      <c r="B318" s="5" t="s">
        <v>1210</v>
      </c>
      <c r="C318" s="7" t="s">
        <v>1281</v>
      </c>
      <c r="D318" s="10" t="s">
        <v>34</v>
      </c>
      <c r="E318" s="10"/>
      <c r="F318" s="9">
        <f t="shared" si="18"/>
        <v>0</v>
      </c>
      <c r="G318" s="7" t="s">
        <v>1282</v>
      </c>
      <c r="H318" s="10"/>
      <c r="I318" s="7" t="str">
        <f>IFERROR(__xludf.DUMMYFUNCTION("regexreplace(lower(C318), ""_"", """")"),"preneuroexamlevelconsciousnessscore")</f>
        <v>preneuroexamlevelconsciousnessscore</v>
      </c>
      <c r="J318" s="9" t="b">
        <f t="shared" si="2"/>
        <v>1</v>
      </c>
      <c r="K318" s="7" t="str">
        <f>IFERROR(__xludf.DUMMYFUNCTION("regexreplace(G318, ""_"", """")"),"preneuroexamlevelconsciousnessscore")</f>
        <v>preneuroexamlevelconsciousnessscore</v>
      </c>
      <c r="L318" s="10"/>
      <c r="M318" s="10"/>
    </row>
    <row r="319">
      <c r="A319" s="10"/>
      <c r="B319" s="5" t="s">
        <v>1210</v>
      </c>
      <c r="C319" s="7" t="s">
        <v>1283</v>
      </c>
      <c r="D319" s="10" t="s">
        <v>34</v>
      </c>
      <c r="E319" s="10"/>
      <c r="F319" s="9">
        <f t="shared" si="18"/>
        <v>0</v>
      </c>
      <c r="G319" s="7" t="s">
        <v>1284</v>
      </c>
      <c r="H319" s="10"/>
      <c r="I319" s="7" t="str">
        <f>IFERROR(__xludf.DUMMYFUNCTION("regexreplace(lower(C319), ""_"", """")"),"preneuroexamspontaneousactivityscore")</f>
        <v>preneuroexamspontaneousactivityscore</v>
      </c>
      <c r="J319" s="9" t="b">
        <f t="shared" si="2"/>
        <v>1</v>
      </c>
      <c r="K319" s="7" t="str">
        <f>IFERROR(__xludf.DUMMYFUNCTION("regexreplace(G319, ""_"", """")"),"preneuroexamspontaneousactivityscore")</f>
        <v>preneuroexamspontaneousactivityscore</v>
      </c>
      <c r="L319" s="10"/>
      <c r="M319" s="10"/>
    </row>
    <row r="320">
      <c r="A320" s="10"/>
      <c r="B320" s="5" t="s">
        <v>1210</v>
      </c>
      <c r="C320" s="7" t="s">
        <v>1285</v>
      </c>
      <c r="D320" s="10" t="s">
        <v>34</v>
      </c>
      <c r="E320" s="10"/>
      <c r="F320" s="9">
        <f t="shared" si="18"/>
        <v>0</v>
      </c>
      <c r="G320" s="7" t="s">
        <v>1286</v>
      </c>
      <c r="H320" s="10"/>
      <c r="I320" s="7" t="str">
        <f>IFERROR(__xludf.DUMMYFUNCTION("regexreplace(lower(C320), ""_"", """")"),"preneuroexamposturescore")</f>
        <v>preneuroexamposturescore</v>
      </c>
      <c r="J320" s="9" t="b">
        <f t="shared" si="2"/>
        <v>1</v>
      </c>
      <c r="K320" s="7" t="str">
        <f>IFERROR(__xludf.DUMMYFUNCTION("regexreplace(G320, ""_"", """")"),"preneuroexamposturescore")</f>
        <v>preneuroexamposturescore</v>
      </c>
      <c r="L320" s="10"/>
      <c r="M320" s="10"/>
    </row>
    <row r="321">
      <c r="A321" s="10"/>
      <c r="B321" s="5" t="s">
        <v>1210</v>
      </c>
      <c r="C321" s="7" t="s">
        <v>1287</v>
      </c>
      <c r="D321" s="10" t="s">
        <v>34</v>
      </c>
      <c r="E321" s="10"/>
      <c r="F321" s="9">
        <f t="shared" si="18"/>
        <v>0</v>
      </c>
      <c r="G321" s="7" t="s">
        <v>1288</v>
      </c>
      <c r="H321" s="10"/>
      <c r="I321" s="7" t="str">
        <f>IFERROR(__xludf.DUMMYFUNCTION("regexreplace(lower(C321), ""_"", """")"),"preneuroexamtonescore")</f>
        <v>preneuroexamtonescore</v>
      </c>
      <c r="J321" s="9" t="b">
        <f t="shared" si="2"/>
        <v>1</v>
      </c>
      <c r="K321" s="7" t="str">
        <f>IFERROR(__xludf.DUMMYFUNCTION("regexreplace(G321, ""_"", """")"),"preneuroexamtonescore")</f>
        <v>preneuroexamtonescore</v>
      </c>
      <c r="L321" s="10"/>
      <c r="M321" s="10"/>
    </row>
    <row r="322">
      <c r="A322" s="10"/>
      <c r="B322" s="5" t="s">
        <v>1210</v>
      </c>
      <c r="C322" s="7" t="s">
        <v>1289</v>
      </c>
      <c r="D322" s="10" t="s">
        <v>34</v>
      </c>
      <c r="E322" s="10"/>
      <c r="F322" s="9">
        <f t="shared" si="18"/>
        <v>0</v>
      </c>
      <c r="G322" s="7" t="s">
        <v>1290</v>
      </c>
      <c r="H322" s="10"/>
      <c r="I322" s="7" t="str">
        <f>IFERROR(__xludf.DUMMYFUNCTION("regexreplace(lower(C322), ""_"", """")"),"preneuroexamsuckscore")</f>
        <v>preneuroexamsuckscore</v>
      </c>
      <c r="J322" s="9" t="b">
        <f t="shared" si="2"/>
        <v>1</v>
      </c>
      <c r="K322" s="7" t="str">
        <f>IFERROR(__xludf.DUMMYFUNCTION("regexreplace(G322, ""_"", """")"),"preneuroexamsuckscore")</f>
        <v>preneuroexamsuckscore</v>
      </c>
      <c r="L322" s="10"/>
      <c r="M322" s="10"/>
    </row>
    <row r="323">
      <c r="A323" s="10"/>
      <c r="B323" s="5" t="s">
        <v>1210</v>
      </c>
      <c r="C323" s="7" t="s">
        <v>1291</v>
      </c>
      <c r="D323" s="10" t="s">
        <v>34</v>
      </c>
      <c r="E323" s="10"/>
      <c r="F323" s="9">
        <f t="shared" si="18"/>
        <v>0</v>
      </c>
      <c r="G323" s="7" t="s">
        <v>1292</v>
      </c>
      <c r="H323" s="10"/>
      <c r="I323" s="7" t="str">
        <f>IFERROR(__xludf.DUMMYFUNCTION("regexreplace(lower(C323), ""_"", """")"),"preneuroexammoroscore")</f>
        <v>preneuroexammoroscore</v>
      </c>
      <c r="J323" s="9" t="b">
        <f t="shared" si="2"/>
        <v>1</v>
      </c>
      <c r="K323" s="7" t="str">
        <f>IFERROR(__xludf.DUMMYFUNCTION("regexreplace(G323, ""_"", """")"),"preneuroexammoroscore")</f>
        <v>preneuroexammoroscore</v>
      </c>
      <c r="L323" s="10"/>
      <c r="M323" s="10"/>
    </row>
    <row r="324">
      <c r="A324" s="10"/>
      <c r="B324" s="5" t="s">
        <v>1210</v>
      </c>
      <c r="C324" s="7" t="s">
        <v>1293</v>
      </c>
      <c r="D324" s="10" t="s">
        <v>34</v>
      </c>
      <c r="E324" s="10"/>
      <c r="F324" s="9">
        <f t="shared" si="18"/>
        <v>0</v>
      </c>
      <c r="G324" s="7" t="s">
        <v>1294</v>
      </c>
      <c r="H324" s="10"/>
      <c r="I324" s="7" t="str">
        <f>IFERROR(__xludf.DUMMYFUNCTION("regexreplace(lower(C324), ""_"", """")"),"preneuroexampupilsscore")</f>
        <v>preneuroexampupilsscore</v>
      </c>
      <c r="J324" s="9" t="b">
        <f t="shared" si="2"/>
        <v>1</v>
      </c>
      <c r="K324" s="7" t="str">
        <f>IFERROR(__xludf.DUMMYFUNCTION("regexreplace(G324, ""_"", """")"),"preneuroexampupilsscore")</f>
        <v>preneuroexampupilsscore</v>
      </c>
      <c r="L324" s="10"/>
      <c r="M324" s="10"/>
    </row>
    <row r="325">
      <c r="A325" s="10"/>
      <c r="B325" s="5" t="s">
        <v>1210</v>
      </c>
      <c r="C325" s="7" t="s">
        <v>1295</v>
      </c>
      <c r="D325" s="10" t="s">
        <v>34</v>
      </c>
      <c r="E325" s="10"/>
      <c r="F325" s="9">
        <f t="shared" si="18"/>
        <v>0</v>
      </c>
      <c r="G325" s="7" t="s">
        <v>1296</v>
      </c>
      <c r="H325" s="10"/>
      <c r="I325" s="7" t="str">
        <f>IFERROR(__xludf.DUMMYFUNCTION("regexreplace(lower(C325), ""_"", """")"),"preneuroexamheartratescore")</f>
        <v>preneuroexamheartratescore</v>
      </c>
      <c r="J325" s="9" t="b">
        <f t="shared" si="2"/>
        <v>1</v>
      </c>
      <c r="K325" s="7" t="str">
        <f>IFERROR(__xludf.DUMMYFUNCTION("regexreplace(G325, ""_"", """")"),"preneuroexamheartratescore")</f>
        <v>preneuroexamheartratescore</v>
      </c>
      <c r="L325" s="10"/>
      <c r="M325" s="10"/>
    </row>
    <row r="326">
      <c r="A326" s="10"/>
      <c r="B326" s="5" t="s">
        <v>1210</v>
      </c>
      <c r="C326" s="7" t="s">
        <v>1297</v>
      </c>
      <c r="D326" s="10" t="s">
        <v>34</v>
      </c>
      <c r="E326" s="10"/>
      <c r="F326" s="9">
        <f t="shared" si="18"/>
        <v>0</v>
      </c>
      <c r="G326" s="7" t="s">
        <v>1298</v>
      </c>
      <c r="H326" s="10"/>
      <c r="I326" s="7" t="str">
        <f>IFERROR(__xludf.DUMMYFUNCTION("regexreplace(lower(C326), ""_"", """")"),"preneuroexamrespirationscore")</f>
        <v>preneuroexamrespirationscore</v>
      </c>
      <c r="J326" s="9" t="b">
        <f t="shared" si="2"/>
        <v>1</v>
      </c>
      <c r="K326" s="7" t="str">
        <f>IFERROR(__xludf.DUMMYFUNCTION("regexreplace(G326, ""_"", """")"),"preneuroexamrespirationscore")</f>
        <v>preneuroexamrespirationscore</v>
      </c>
      <c r="L326" s="10"/>
      <c r="M326" s="10"/>
    </row>
    <row r="327">
      <c r="A327" s="10"/>
      <c r="B327" s="5" t="s">
        <v>1210</v>
      </c>
      <c r="C327" s="7" t="s">
        <v>1299</v>
      </c>
      <c r="D327" s="10" t="s">
        <v>34</v>
      </c>
      <c r="E327" s="10"/>
      <c r="F327" s="9">
        <f t="shared" si="18"/>
        <v>0</v>
      </c>
      <c r="G327" s="7" t="s">
        <v>1300</v>
      </c>
      <c r="H327" s="10"/>
      <c r="I327" s="7" t="str">
        <f>IFERROR(__xludf.DUMMYFUNCTION("regexreplace(lower(C327), ""_"", """")"),"preneuroexamreflexscore")</f>
        <v>preneuroexamreflexscore</v>
      </c>
      <c r="J327" s="9" t="b">
        <f t="shared" si="2"/>
        <v>1</v>
      </c>
      <c r="K327" s="7" t="str">
        <f>IFERROR(__xludf.DUMMYFUNCTION("regexreplace(G327, ""_"", """")"),"preneuroexamreflexscore")</f>
        <v>preneuroexamreflexscore</v>
      </c>
      <c r="L327" s="10"/>
      <c r="M327" s="10"/>
    </row>
    <row r="328">
      <c r="A328" s="10"/>
      <c r="B328" s="5" t="s">
        <v>1210</v>
      </c>
      <c r="C328" s="7" t="s">
        <v>1301</v>
      </c>
      <c r="D328" s="10" t="s">
        <v>34</v>
      </c>
      <c r="E328" s="10"/>
      <c r="F328" s="9">
        <f t="shared" si="18"/>
        <v>0</v>
      </c>
      <c r="G328" s="7" t="s">
        <v>1302</v>
      </c>
      <c r="H328" s="10"/>
      <c r="I328" s="7" t="str">
        <f>IFERROR(__xludf.DUMMYFUNCTION("regexreplace(lower(C328), ""_"", """")"),"preneuroexamansscore")</f>
        <v>preneuroexamansscore</v>
      </c>
      <c r="J328" s="9" t="b">
        <f t="shared" si="2"/>
        <v>1</v>
      </c>
      <c r="K328" s="7" t="str">
        <f>IFERROR(__xludf.DUMMYFUNCTION("regexreplace(G328, ""_"", """")"),"preneuroexamansscore")</f>
        <v>preneuroexamansscore</v>
      </c>
      <c r="L328" s="10"/>
      <c r="M328" s="10"/>
    </row>
    <row r="329">
      <c r="A329" s="10"/>
      <c r="B329" s="5" t="s">
        <v>1210</v>
      </c>
      <c r="C329" s="7" t="s">
        <v>1303</v>
      </c>
      <c r="D329" s="10" t="s">
        <v>34</v>
      </c>
      <c r="E329" s="26" t="s">
        <v>1304</v>
      </c>
      <c r="F329" s="9">
        <f t="shared" si="18"/>
        <v>0</v>
      </c>
      <c r="G329" s="7" t="s">
        <v>1305</v>
      </c>
      <c r="H329" s="10"/>
      <c r="I329" s="7" t="str">
        <f>IFERROR(__xludf.DUMMYFUNCTION("regexreplace(lower(C329), ""_"", """")"),"pretotalmodifiedsarnatscore")</f>
        <v>pretotalmodifiedsarnatscore</v>
      </c>
      <c r="J329" s="9" t="b">
        <f t="shared" si="2"/>
        <v>1</v>
      </c>
      <c r="K329" s="7" t="str">
        <f>IFERROR(__xludf.DUMMYFUNCTION("regexreplace(G329, ""_"", """")"),"pretotalmodifiedsarnatscore")</f>
        <v>pretotalmodifiedsarnatscore</v>
      </c>
      <c r="L329" s="10"/>
      <c r="M329" s="10"/>
    </row>
    <row r="330">
      <c r="A330" s="10"/>
      <c r="B330" s="5" t="s">
        <v>1210</v>
      </c>
      <c r="C330" s="7" t="s">
        <v>1306</v>
      </c>
      <c r="D330" s="7" t="s">
        <v>29</v>
      </c>
      <c r="E330" s="15" t="s">
        <v>1307</v>
      </c>
      <c r="F330" s="9">
        <f t="shared" si="18"/>
        <v>2</v>
      </c>
      <c r="G330" s="7" t="s">
        <v>1308</v>
      </c>
      <c r="H330" s="7"/>
      <c r="I330" s="7" t="str">
        <f>IFERROR(__xludf.DUMMYFUNCTION("regexreplace(lower(C330), ""_"", """")"),"preneuroexamdate")</f>
        <v>preneuroexamdate</v>
      </c>
      <c r="J330" s="9" t="b">
        <f t="shared" si="2"/>
        <v>1</v>
      </c>
      <c r="K330" s="7" t="str">
        <f>IFERROR(__xludf.DUMMYFUNCTION("regexreplace(G330, ""_"", """")"),"preneuroexamdate")</f>
        <v>preneuroexamdate</v>
      </c>
      <c r="L330" s="10" t="s">
        <v>1309</v>
      </c>
      <c r="M330" s="10" t="s">
        <v>1310</v>
      </c>
    </row>
    <row r="331">
      <c r="A331" s="10"/>
      <c r="B331" s="5" t="s">
        <v>1210</v>
      </c>
      <c r="C331" s="7" t="s">
        <v>1311</v>
      </c>
      <c r="D331" s="7" t="s">
        <v>148</v>
      </c>
      <c r="E331" s="15" t="s">
        <v>1312</v>
      </c>
      <c r="F331" s="9">
        <f t="shared" si="18"/>
        <v>2</v>
      </c>
      <c r="G331" s="7" t="s">
        <v>1313</v>
      </c>
      <c r="H331" s="7"/>
      <c r="I331" s="7" t="str">
        <f>IFERROR(__xludf.DUMMYFUNCTION("regexreplace(lower(C331), ""_"", """")"),"preneuroexamtime")</f>
        <v>preneuroexamtime</v>
      </c>
      <c r="J331" s="9" t="b">
        <f t="shared" si="2"/>
        <v>1</v>
      </c>
      <c r="K331" s="7" t="str">
        <f>IFERROR(__xludf.DUMMYFUNCTION("regexreplace(G331, ""_"", """")"),"preneuroexamtime")</f>
        <v>preneuroexamtime</v>
      </c>
      <c r="L331" s="10" t="s">
        <v>1314</v>
      </c>
      <c r="M331" s="10" t="s">
        <v>1315</v>
      </c>
    </row>
    <row r="332">
      <c r="A332" s="10"/>
      <c r="B332" s="5" t="s">
        <v>1210</v>
      </c>
      <c r="C332" s="7" t="s">
        <v>1316</v>
      </c>
      <c r="D332" s="7" t="s">
        <v>43</v>
      </c>
      <c r="E332" s="10" t="s">
        <v>1317</v>
      </c>
      <c r="F332" s="9">
        <f t="shared" si="18"/>
        <v>2</v>
      </c>
      <c r="G332" s="7" t="s">
        <v>1318</v>
      </c>
      <c r="H332" s="10"/>
      <c r="I332" s="7" t="str">
        <f>IFERROR(__xludf.DUMMYFUNCTION("regexreplace(lower(C332), ""_"", """")"),"preneuroexamsedate")</f>
        <v>preneuroexamsedate</v>
      </c>
      <c r="J332" s="9" t="b">
        <f t="shared" si="2"/>
        <v>1</v>
      </c>
      <c r="K332" s="7" t="str">
        <f>IFERROR(__xludf.DUMMYFUNCTION("regexreplace(G332, ""_"", """")"),"preneuroexamsedate")</f>
        <v>preneuroexamsedate</v>
      </c>
      <c r="L332" s="10" t="s">
        <v>1319</v>
      </c>
      <c r="M332" s="10" t="s">
        <v>1320</v>
      </c>
    </row>
    <row r="333">
      <c r="A333" s="10"/>
      <c r="B333" s="5" t="s">
        <v>1210</v>
      </c>
      <c r="C333" s="7" t="s">
        <v>1321</v>
      </c>
      <c r="D333" s="7" t="s">
        <v>43</v>
      </c>
      <c r="E333" s="10" t="s">
        <v>1322</v>
      </c>
      <c r="F333" s="9">
        <f t="shared" si="18"/>
        <v>2</v>
      </c>
      <c r="G333" s="7" t="s">
        <v>1323</v>
      </c>
      <c r="H333" s="10"/>
      <c r="I333" s="7" t="str">
        <f>IFERROR(__xludf.DUMMYFUNCTION("regexreplace(lower(C333), ""_"", """")"),"preneuroexamseizure")</f>
        <v>preneuroexamseizure</v>
      </c>
      <c r="J333" s="9" t="b">
        <f t="shared" si="2"/>
        <v>1</v>
      </c>
      <c r="K333" s="7" t="str">
        <f>IFERROR(__xludf.DUMMYFUNCTION("regexreplace(G333, ""_"", """")"),"preneuroexamseizure")</f>
        <v>preneuroexamseizure</v>
      </c>
      <c r="L333" s="10" t="s">
        <v>1324</v>
      </c>
      <c r="M333" s="10" t="s">
        <v>1325</v>
      </c>
    </row>
    <row r="334">
      <c r="A334" s="12"/>
      <c r="B334" s="12"/>
      <c r="C334" s="13"/>
      <c r="D334" s="12"/>
      <c r="E334" s="12"/>
      <c r="F334" s="12"/>
      <c r="G334" s="12"/>
      <c r="H334" s="12"/>
      <c r="I334" s="13" t="str">
        <f>IFERROR(__xludf.DUMMYFUNCTION("regexreplace(lower(C334), ""_"", """")"),"")</f>
        <v/>
      </c>
      <c r="J334" s="14" t="str">
        <f t="shared" si="2"/>
        <v/>
      </c>
      <c r="K334" s="13" t="str">
        <f>IFERROR(__xludf.DUMMYFUNCTION("regexreplace(G334, ""_"", """")"),"")</f>
        <v/>
      </c>
      <c r="L334" s="12"/>
      <c r="M334" s="12"/>
    </row>
    <row r="335">
      <c r="A335" s="12"/>
      <c r="B335" s="12"/>
      <c r="C335" s="13"/>
      <c r="D335" s="12"/>
      <c r="E335" s="12"/>
      <c r="F335" s="12"/>
      <c r="G335" s="12"/>
      <c r="H335" s="12"/>
      <c r="I335" s="13" t="str">
        <f>IFERROR(__xludf.DUMMYFUNCTION("regexreplace(lower(C335), ""_"", """")"),"")</f>
        <v/>
      </c>
      <c r="J335" s="14" t="str">
        <f t="shared" si="2"/>
        <v/>
      </c>
      <c r="K335" s="13" t="str">
        <f>IFERROR(__xludf.DUMMYFUNCTION("regexreplace(G335, ""_"", """")"),"")</f>
        <v/>
      </c>
      <c r="L335" s="12"/>
      <c r="M335" s="12"/>
    </row>
    <row r="336">
      <c r="A336" s="27" t="s">
        <v>1326</v>
      </c>
      <c r="B336" s="27" t="s">
        <v>761</v>
      </c>
      <c r="C336" s="28" t="s">
        <v>1327</v>
      </c>
      <c r="D336" s="29" t="s">
        <v>34</v>
      </c>
      <c r="E336" s="30" t="s">
        <v>1328</v>
      </c>
      <c r="F336" s="31">
        <f t="shared" ref="F336:F346" si="19">counta(L336:M336)</f>
        <v>2</v>
      </c>
      <c r="G336" s="32" t="s">
        <v>1329</v>
      </c>
      <c r="H336" s="33"/>
      <c r="I336" s="7" t="str">
        <f>IFERROR(__xludf.DUMMYFUNCTION("regexreplace(lower(C336), ""_"", """")"),"temperaturetimeslotmin")</f>
        <v>temperaturetimeslotmin</v>
      </c>
      <c r="J336" s="9" t="b">
        <f t="shared" si="2"/>
        <v>1</v>
      </c>
      <c r="K336" s="7" t="str">
        <f>IFERROR(__xludf.DUMMYFUNCTION("regexreplace(G336, ""_"", """")"),"temperaturetimeslotmin")</f>
        <v>temperaturetimeslotmin</v>
      </c>
      <c r="L336" s="33" t="s">
        <v>1330</v>
      </c>
      <c r="M336" s="33" t="s">
        <v>1331</v>
      </c>
    </row>
    <row r="337">
      <c r="A337" s="33"/>
      <c r="B337" s="27" t="s">
        <v>761</v>
      </c>
      <c r="C337" s="29" t="s">
        <v>1332</v>
      </c>
      <c r="D337" s="29" t="s">
        <v>43</v>
      </c>
      <c r="E337" s="30" t="s">
        <v>1333</v>
      </c>
      <c r="F337" s="31">
        <f t="shared" si="19"/>
        <v>1</v>
      </c>
      <c r="G337" s="27" t="s">
        <v>1334</v>
      </c>
      <c r="H337" s="33"/>
      <c r="I337" s="7" t="str">
        <f>IFERROR(__xludf.DUMMYFUNCTION("regexreplace(lower(C337), ""_"", """")"),"temperaturetimeslotnoform")</f>
        <v>temperaturetimeslotnoform</v>
      </c>
      <c r="J337" s="9" t="b">
        <f t="shared" si="2"/>
        <v>1</v>
      </c>
      <c r="K337" s="7" t="str">
        <f>IFERROR(__xludf.DUMMYFUNCTION("regexreplace(G337, ""_"", """")"),"temperaturetimeslotnoform")</f>
        <v>temperaturetimeslotnoform</v>
      </c>
      <c r="L337" s="33"/>
      <c r="M337" s="33" t="s">
        <v>1335</v>
      </c>
    </row>
    <row r="338">
      <c r="A338" s="33"/>
      <c r="B338" s="27" t="s">
        <v>761</v>
      </c>
      <c r="C338" s="27" t="s">
        <v>1336</v>
      </c>
      <c r="D338" s="27" t="s">
        <v>29</v>
      </c>
      <c r="E338" s="30" t="s">
        <v>1337</v>
      </c>
      <c r="F338" s="31">
        <f t="shared" si="19"/>
        <v>2</v>
      </c>
      <c r="G338" s="27" t="s">
        <v>1338</v>
      </c>
      <c r="H338" s="33"/>
      <c r="I338" s="7" t="str">
        <f>IFERROR(__xludf.DUMMYFUNCTION("regexreplace(lower(C338), ""_"", """")"),"temperaturedate")</f>
        <v>temperaturedate</v>
      </c>
      <c r="J338" s="9" t="b">
        <f t="shared" si="2"/>
        <v>1</v>
      </c>
      <c r="K338" s="7" t="str">
        <f>IFERROR(__xludf.DUMMYFUNCTION("regexreplace(G338, ""_"", """")"),"temperaturedate")</f>
        <v>temperaturedate</v>
      </c>
      <c r="L338" s="33" t="s">
        <v>1339</v>
      </c>
      <c r="M338" s="33" t="s">
        <v>1340</v>
      </c>
    </row>
    <row r="339">
      <c r="A339" s="33"/>
      <c r="B339" s="27" t="s">
        <v>761</v>
      </c>
      <c r="C339" s="27" t="s">
        <v>1341</v>
      </c>
      <c r="D339" s="27" t="s">
        <v>148</v>
      </c>
      <c r="E339" s="30" t="s">
        <v>1342</v>
      </c>
      <c r="F339" s="31">
        <f t="shared" si="19"/>
        <v>2</v>
      </c>
      <c r="G339" s="27" t="s">
        <v>1343</v>
      </c>
      <c r="H339" s="27"/>
      <c r="I339" s="7" t="str">
        <f>IFERROR(__xludf.DUMMYFUNCTION("regexreplace(lower(C339), ""_"", """")"),"temperaturetime")</f>
        <v>temperaturetime</v>
      </c>
      <c r="J339" s="9" t="b">
        <f t="shared" si="2"/>
        <v>1</v>
      </c>
      <c r="K339" s="7" t="str">
        <f>IFERROR(__xludf.DUMMYFUNCTION("regexreplace(G339, ""_"", """")"),"temperaturetime")</f>
        <v>temperaturetime</v>
      </c>
      <c r="L339" s="33" t="s">
        <v>1344</v>
      </c>
      <c r="M339" s="33" t="s">
        <v>1345</v>
      </c>
    </row>
    <row r="340">
      <c r="A340" s="33"/>
      <c r="B340" s="27" t="s">
        <v>761</v>
      </c>
      <c r="C340" s="27" t="s">
        <v>1346</v>
      </c>
      <c r="D340" s="27" t="s">
        <v>154</v>
      </c>
      <c r="E340" s="33" t="s">
        <v>1347</v>
      </c>
      <c r="F340" s="31">
        <f t="shared" si="19"/>
        <v>2</v>
      </c>
      <c r="G340" s="27" t="s">
        <v>1348</v>
      </c>
      <c r="H340" s="33"/>
      <c r="I340" s="7" t="str">
        <f>IFERROR(__xludf.DUMMYFUNCTION("regexreplace(lower(C340), ""_"", """")"),"skintemperaturec")</f>
        <v>skintemperaturec</v>
      </c>
      <c r="J340" s="9" t="b">
        <f t="shared" si="2"/>
        <v>1</v>
      </c>
      <c r="K340" s="7" t="str">
        <f>IFERROR(__xludf.DUMMYFUNCTION("regexreplace(G340, ""_"", """")"),"skintemperaturec")</f>
        <v>skintemperaturec</v>
      </c>
      <c r="L340" s="33" t="s">
        <v>1349</v>
      </c>
      <c r="M340" s="33" t="s">
        <v>1350</v>
      </c>
    </row>
    <row r="341">
      <c r="A341" s="33"/>
      <c r="B341" s="27" t="s">
        <v>761</v>
      </c>
      <c r="C341" s="27" t="s">
        <v>1351</v>
      </c>
      <c r="D341" s="27" t="s">
        <v>154</v>
      </c>
      <c r="E341" s="33" t="s">
        <v>1352</v>
      </c>
      <c r="F341" s="31">
        <f t="shared" si="19"/>
        <v>2</v>
      </c>
      <c r="G341" s="27" t="s">
        <v>1353</v>
      </c>
      <c r="H341" s="33"/>
      <c r="I341" s="7" t="str">
        <f>IFERROR(__xludf.DUMMYFUNCTION("regexreplace(lower(C341), ""_"", """")"),"axillarytemperaturec")</f>
        <v>axillarytemperaturec</v>
      </c>
      <c r="J341" s="9" t="b">
        <f t="shared" si="2"/>
        <v>1</v>
      </c>
      <c r="K341" s="7" t="str">
        <f>IFERROR(__xludf.DUMMYFUNCTION("regexreplace(G341, ""_"", """")"),"axillarytemperaturec")</f>
        <v>axillarytemperaturec</v>
      </c>
      <c r="L341" s="33" t="s">
        <v>1354</v>
      </c>
      <c r="M341" s="33" t="s">
        <v>1355</v>
      </c>
    </row>
    <row r="342">
      <c r="A342" s="33"/>
      <c r="B342" s="27" t="s">
        <v>761</v>
      </c>
      <c r="C342" s="27" t="s">
        <v>1356</v>
      </c>
      <c r="D342" s="27" t="s">
        <v>154</v>
      </c>
      <c r="E342" s="33" t="s">
        <v>1357</v>
      </c>
      <c r="F342" s="31">
        <f t="shared" si="19"/>
        <v>2</v>
      </c>
      <c r="G342" s="27" t="s">
        <v>1358</v>
      </c>
      <c r="H342" s="33"/>
      <c r="I342" s="7" t="str">
        <f>IFERROR(__xludf.DUMMYFUNCTION("regexreplace(lower(C342), ""_"", """")"),"esophagealtemperaturec")</f>
        <v>esophagealtemperaturec</v>
      </c>
      <c r="J342" s="9" t="b">
        <f t="shared" si="2"/>
        <v>1</v>
      </c>
      <c r="K342" s="7" t="str">
        <f>IFERROR(__xludf.DUMMYFUNCTION("regexreplace(G342, ""_"", """")"),"esophagealtemperaturec")</f>
        <v>esophagealtemperaturec</v>
      </c>
      <c r="L342" s="33" t="s">
        <v>1359</v>
      </c>
      <c r="M342" s="33" t="s">
        <v>1360</v>
      </c>
    </row>
    <row r="343">
      <c r="A343" s="33"/>
      <c r="B343" s="27" t="s">
        <v>761</v>
      </c>
      <c r="C343" s="27" t="s">
        <v>1361</v>
      </c>
      <c r="D343" s="27" t="s">
        <v>154</v>
      </c>
      <c r="E343" s="33" t="s">
        <v>1362</v>
      </c>
      <c r="F343" s="31">
        <f t="shared" si="19"/>
        <v>2</v>
      </c>
      <c r="G343" s="27" t="s">
        <v>1363</v>
      </c>
      <c r="H343" s="33"/>
      <c r="I343" s="7" t="str">
        <f>IFERROR(__xludf.DUMMYFUNCTION("regexreplace(lower(C343), ""_"", """")"),"blankettemperaturec")</f>
        <v>blankettemperaturec</v>
      </c>
      <c r="J343" s="9" t="b">
        <f t="shared" si="2"/>
        <v>1</v>
      </c>
      <c r="K343" s="7" t="str">
        <f>IFERROR(__xludf.DUMMYFUNCTION("regexreplace(G343, ""_"", """")"),"blankettemperaturec")</f>
        <v>blankettemperaturec</v>
      </c>
      <c r="L343" s="33" t="s">
        <v>1364</v>
      </c>
      <c r="M343" s="33" t="s">
        <v>1365</v>
      </c>
    </row>
    <row r="344">
      <c r="A344" s="33"/>
      <c r="B344" s="27" t="s">
        <v>761</v>
      </c>
      <c r="C344" s="27" t="s">
        <v>1366</v>
      </c>
      <c r="D344" s="27" t="s">
        <v>154</v>
      </c>
      <c r="E344" s="33" t="s">
        <v>1367</v>
      </c>
      <c r="F344" s="31">
        <f t="shared" si="19"/>
        <v>2</v>
      </c>
      <c r="G344" s="27" t="s">
        <v>1368</v>
      </c>
      <c r="H344" s="33"/>
      <c r="I344" s="7" t="str">
        <f>IFERROR(__xludf.DUMMYFUNCTION("regexreplace(lower(C344), ""_"", """")"),"servosettemperaturec")</f>
        <v>servosettemperaturec</v>
      </c>
      <c r="J344" s="9" t="b">
        <f t="shared" si="2"/>
        <v>1</v>
      </c>
      <c r="K344" s="7" t="str">
        <f>IFERROR(__xludf.DUMMYFUNCTION("regexreplace(G344, ""_"", """")"),"servosettemperaturec")</f>
        <v>servosettemperaturec</v>
      </c>
      <c r="L344" s="33" t="s">
        <v>1369</v>
      </c>
      <c r="M344" s="33" t="s">
        <v>1370</v>
      </c>
    </row>
    <row r="345">
      <c r="A345" s="33"/>
      <c r="B345" s="27" t="s">
        <v>761</v>
      </c>
      <c r="C345" s="27" t="s">
        <v>1371</v>
      </c>
      <c r="D345" s="27" t="s">
        <v>43</v>
      </c>
      <c r="E345" s="30" t="s">
        <v>1372</v>
      </c>
      <c r="F345" s="31">
        <f t="shared" si="19"/>
        <v>1</v>
      </c>
      <c r="G345" s="27" t="s">
        <v>1373</v>
      </c>
      <c r="H345" s="33"/>
      <c r="I345" s="7" t="str">
        <f>IFERROR(__xludf.DUMMYFUNCTION("regexreplace(lower(C345), ""_"", """")"),"alterationskinintegrity")</f>
        <v>alterationskinintegrity</v>
      </c>
      <c r="J345" s="9" t="b">
        <f t="shared" si="2"/>
        <v>1</v>
      </c>
      <c r="K345" s="7" t="str">
        <f>IFERROR(__xludf.DUMMYFUNCTION("regexreplace(G345, ""_"", """")"),"alterationskinintegrity")</f>
        <v>alterationskinintegrity</v>
      </c>
      <c r="L345" s="33"/>
      <c r="M345" s="33" t="s">
        <v>1374</v>
      </c>
    </row>
    <row r="346">
      <c r="A346" s="33"/>
      <c r="B346" s="27" t="s">
        <v>761</v>
      </c>
      <c r="C346" s="27" t="s">
        <v>1375</v>
      </c>
      <c r="D346" s="27" t="s">
        <v>43</v>
      </c>
      <c r="E346" s="30" t="s">
        <v>1376</v>
      </c>
      <c r="F346" s="31">
        <f t="shared" si="19"/>
        <v>1</v>
      </c>
      <c r="G346" s="27" t="s">
        <v>1375</v>
      </c>
      <c r="H346" s="33"/>
      <c r="I346" s="7" t="str">
        <f>IFERROR(__xludf.DUMMYFUNCTION("regexreplace(lower(C346), ""_"", """")"),"shiver")</f>
        <v>shiver</v>
      </c>
      <c r="J346" s="9" t="b">
        <f t="shared" si="2"/>
        <v>1</v>
      </c>
      <c r="K346" s="7" t="str">
        <f>IFERROR(__xludf.DUMMYFUNCTION("regexreplace(G346, ""_"", """")"),"shiver")</f>
        <v>shiver</v>
      </c>
      <c r="L346" s="33"/>
      <c r="M346" s="33" t="s">
        <v>1377</v>
      </c>
    </row>
    <row r="347">
      <c r="A347" s="12"/>
      <c r="B347" s="12"/>
      <c r="C347" s="13"/>
      <c r="D347" s="12"/>
      <c r="E347" s="12"/>
      <c r="F347" s="12"/>
      <c r="G347" s="12"/>
      <c r="H347" s="12"/>
      <c r="I347" s="13" t="str">
        <f>IFERROR(__xludf.DUMMYFUNCTION("regexreplace(lower(C347), ""_"", """")"),"")</f>
        <v/>
      </c>
      <c r="J347" s="14" t="str">
        <f t="shared" si="2"/>
        <v/>
      </c>
      <c r="K347" s="13" t="str">
        <f>IFERROR(__xludf.DUMMYFUNCTION("regexreplace(G347, ""_"", """")"),"")</f>
        <v/>
      </c>
      <c r="L347" s="12"/>
      <c r="M347" s="12"/>
    </row>
    <row r="348">
      <c r="A348" s="27" t="s">
        <v>1326</v>
      </c>
      <c r="B348" s="27" t="s">
        <v>853</v>
      </c>
      <c r="C348" s="32" t="s">
        <v>1378</v>
      </c>
      <c r="D348" s="27" t="s">
        <v>34</v>
      </c>
      <c r="E348" s="33" t="s">
        <v>1379</v>
      </c>
      <c r="F348" s="31">
        <f t="shared" ref="F348:F357" si="20">counta(L348:M348)</f>
        <v>2</v>
      </c>
      <c r="G348" s="32" t="s">
        <v>1380</v>
      </c>
      <c r="H348" s="33"/>
      <c r="I348" s="7" t="str">
        <f>IFERROR(__xludf.DUMMYFUNCTION("regexreplace(lower(C348), ""_"", """")"),"cardiotimeslotmin")</f>
        <v>cardiotimeslotmin</v>
      </c>
      <c r="J348" s="9" t="b">
        <f t="shared" si="2"/>
        <v>1</v>
      </c>
      <c r="K348" s="7" t="str">
        <f>IFERROR(__xludf.DUMMYFUNCTION("regexreplace(G348, ""_"", """")"),"cardiotimeslotmin")</f>
        <v>cardiotimeslotmin</v>
      </c>
      <c r="L348" s="33" t="s">
        <v>1381</v>
      </c>
      <c r="M348" s="33" t="s">
        <v>1382</v>
      </c>
    </row>
    <row r="349">
      <c r="A349" s="33"/>
      <c r="B349" s="27" t="s">
        <v>853</v>
      </c>
      <c r="C349" s="27" t="s">
        <v>1383</v>
      </c>
      <c r="D349" s="27" t="s">
        <v>29</v>
      </c>
      <c r="E349" s="33" t="s">
        <v>855</v>
      </c>
      <c r="F349" s="31">
        <f t="shared" si="20"/>
        <v>2</v>
      </c>
      <c r="G349" s="27" t="s">
        <v>1384</v>
      </c>
      <c r="H349" s="33"/>
      <c r="I349" s="7" t="str">
        <f>IFERROR(__xludf.DUMMYFUNCTION("regexreplace(lower(C349), ""_"", """")"),"cardiodate")</f>
        <v>cardiodate</v>
      </c>
      <c r="J349" s="9" t="b">
        <f t="shared" si="2"/>
        <v>1</v>
      </c>
      <c r="K349" s="7" t="str">
        <f>IFERROR(__xludf.DUMMYFUNCTION("regexreplace(G349, ""_"", """")"),"cardiodate")</f>
        <v>cardiodate</v>
      </c>
      <c r="L349" s="33" t="s">
        <v>1385</v>
      </c>
      <c r="M349" s="33" t="s">
        <v>1386</v>
      </c>
    </row>
    <row r="350">
      <c r="A350" s="33"/>
      <c r="B350" s="27" t="s">
        <v>853</v>
      </c>
      <c r="C350" s="27" t="s">
        <v>1387</v>
      </c>
      <c r="D350" s="27" t="s">
        <v>148</v>
      </c>
      <c r="E350" s="33" t="s">
        <v>859</v>
      </c>
      <c r="F350" s="31">
        <f t="shared" si="20"/>
        <v>2</v>
      </c>
      <c r="G350" s="27" t="s">
        <v>1388</v>
      </c>
      <c r="H350" s="33"/>
      <c r="I350" s="7" t="str">
        <f>IFERROR(__xludf.DUMMYFUNCTION("regexreplace(lower(C350), ""_"", """")"),"cardiotime")</f>
        <v>cardiotime</v>
      </c>
      <c r="J350" s="9" t="b">
        <f t="shared" si="2"/>
        <v>1</v>
      </c>
      <c r="K350" s="7" t="str">
        <f>IFERROR(__xludf.DUMMYFUNCTION("regexreplace(G350, ""_"", """")"),"cardiotime")</f>
        <v>cardiotime</v>
      </c>
      <c r="L350" s="33" t="s">
        <v>1389</v>
      </c>
      <c r="M350" s="33" t="s">
        <v>1390</v>
      </c>
    </row>
    <row r="351">
      <c r="A351" s="33"/>
      <c r="B351" s="27" t="s">
        <v>853</v>
      </c>
      <c r="C351" s="27" t="s">
        <v>1391</v>
      </c>
      <c r="D351" s="27" t="s">
        <v>154</v>
      </c>
      <c r="E351" s="33" t="s">
        <v>862</v>
      </c>
      <c r="F351" s="31">
        <f t="shared" si="20"/>
        <v>2</v>
      </c>
      <c r="G351" s="27" t="s">
        <v>1392</v>
      </c>
      <c r="H351" s="33"/>
      <c r="I351" s="7" t="str">
        <f>IFERROR(__xludf.DUMMYFUNCTION("regexreplace(lower(C351), ""_"", """")"),"cardiosystolicbloodpressuremmhg")</f>
        <v>cardiosystolicbloodpressuremmhg</v>
      </c>
      <c r="J351" s="9" t="b">
        <f t="shared" si="2"/>
        <v>1</v>
      </c>
      <c r="K351" s="7" t="str">
        <f>IFERROR(__xludf.DUMMYFUNCTION("regexreplace(G351, ""_"", """")"),"cardiosystolicbloodpressuremmhg")</f>
        <v>cardiosystolicbloodpressuremmhg</v>
      </c>
      <c r="L351" s="33" t="s">
        <v>1393</v>
      </c>
      <c r="M351" s="33" t="s">
        <v>1394</v>
      </c>
    </row>
    <row r="352">
      <c r="A352" s="33"/>
      <c r="B352" s="27" t="s">
        <v>853</v>
      </c>
      <c r="C352" s="27" t="s">
        <v>1395</v>
      </c>
      <c r="D352" s="27" t="s">
        <v>154</v>
      </c>
      <c r="E352" s="33" t="s">
        <v>865</v>
      </c>
      <c r="F352" s="31">
        <f t="shared" si="20"/>
        <v>2</v>
      </c>
      <c r="G352" s="27" t="s">
        <v>1396</v>
      </c>
      <c r="H352" s="33"/>
      <c r="I352" s="7" t="str">
        <f>IFERROR(__xludf.DUMMYFUNCTION("regexreplace(lower(C352), ""_"", """")"),"cardiodiastolicbloodpressuremmhg")</f>
        <v>cardiodiastolicbloodpressuremmhg</v>
      </c>
      <c r="J352" s="9" t="b">
        <f t="shared" si="2"/>
        <v>1</v>
      </c>
      <c r="K352" s="7" t="str">
        <f>IFERROR(__xludf.DUMMYFUNCTION("regexreplace(G352, ""_"", """")"),"cardiodiastolicbloodpressuremmhg")</f>
        <v>cardiodiastolicbloodpressuremmhg</v>
      </c>
      <c r="L352" s="33" t="s">
        <v>1397</v>
      </c>
      <c r="M352" s="33" t="s">
        <v>1398</v>
      </c>
    </row>
    <row r="353">
      <c r="A353" s="33"/>
      <c r="B353" s="27" t="s">
        <v>853</v>
      </c>
      <c r="C353" s="27" t="s">
        <v>1399</v>
      </c>
      <c r="D353" s="27" t="s">
        <v>154</v>
      </c>
      <c r="E353" s="33" t="s">
        <v>868</v>
      </c>
      <c r="F353" s="31">
        <f t="shared" si="20"/>
        <v>2</v>
      </c>
      <c r="G353" s="27" t="s">
        <v>1400</v>
      </c>
      <c r="H353" s="33"/>
      <c r="I353" s="7" t="str">
        <f>IFERROR(__xludf.DUMMYFUNCTION("regexreplace(lower(C353), ""_"", """")"),"cardioheartratebpm")</f>
        <v>cardioheartratebpm</v>
      </c>
      <c r="J353" s="9" t="b">
        <f t="shared" si="2"/>
        <v>1</v>
      </c>
      <c r="K353" s="7" t="str">
        <f>IFERROR(__xludf.DUMMYFUNCTION("regexreplace(G353, ""_"", """")"),"cardioheartratebpm")</f>
        <v>cardioheartratebpm</v>
      </c>
      <c r="L353" s="33" t="s">
        <v>1401</v>
      </c>
      <c r="M353" s="33" t="s">
        <v>1402</v>
      </c>
    </row>
    <row r="354">
      <c r="A354" s="33"/>
      <c r="B354" s="27" t="s">
        <v>853</v>
      </c>
      <c r="C354" s="27" t="s">
        <v>1403</v>
      </c>
      <c r="D354" s="27" t="s">
        <v>43</v>
      </c>
      <c r="E354" s="33" t="s">
        <v>871</v>
      </c>
      <c r="F354" s="31">
        <f t="shared" si="20"/>
        <v>2</v>
      </c>
      <c r="G354" s="27" t="s">
        <v>1404</v>
      </c>
      <c r="H354" s="33"/>
      <c r="I354" s="7" t="str">
        <f>IFERROR(__xludf.DUMMYFUNCTION("regexreplace(lower(C354), ""_"", """")"),"cardiovolumeexpand")</f>
        <v>cardiovolumeexpand</v>
      </c>
      <c r="J354" s="9" t="b">
        <f t="shared" si="2"/>
        <v>1</v>
      </c>
      <c r="K354" s="7" t="str">
        <f>IFERROR(__xludf.DUMMYFUNCTION("regexreplace(G354, ""_"", """")"),"cardiovolumeexpand")</f>
        <v>cardiovolumeexpand</v>
      </c>
      <c r="L354" s="33" t="s">
        <v>1405</v>
      </c>
      <c r="M354" s="33" t="s">
        <v>1406</v>
      </c>
    </row>
    <row r="355">
      <c r="A355" s="33"/>
      <c r="B355" s="27" t="s">
        <v>853</v>
      </c>
      <c r="C355" s="27" t="s">
        <v>1407</v>
      </c>
      <c r="D355" s="27" t="s">
        <v>43</v>
      </c>
      <c r="E355" s="33" t="s">
        <v>874</v>
      </c>
      <c r="F355" s="31">
        <f t="shared" si="20"/>
        <v>2</v>
      </c>
      <c r="G355" s="27" t="s">
        <v>1408</v>
      </c>
      <c r="H355" s="33"/>
      <c r="I355" s="7" t="str">
        <f>IFERROR(__xludf.DUMMYFUNCTION("regexreplace(lower(C355), ""_"", """")"),"cardioinotropicagent")</f>
        <v>cardioinotropicagent</v>
      </c>
      <c r="J355" s="9" t="b">
        <f t="shared" si="2"/>
        <v>1</v>
      </c>
      <c r="K355" s="7" t="str">
        <f>IFERROR(__xludf.DUMMYFUNCTION("regexreplace(G355, ""_"", """")"),"cardioinotropicagent")</f>
        <v>cardioinotropicagent</v>
      </c>
      <c r="L355" s="33" t="s">
        <v>1409</v>
      </c>
      <c r="M355" s="33" t="s">
        <v>1410</v>
      </c>
    </row>
    <row r="356">
      <c r="A356" s="33"/>
      <c r="B356" s="27" t="s">
        <v>853</v>
      </c>
      <c r="C356" s="27" t="s">
        <v>1411</v>
      </c>
      <c r="D356" s="27" t="s">
        <v>43</v>
      </c>
      <c r="E356" s="33" t="s">
        <v>877</v>
      </c>
      <c r="F356" s="31">
        <f t="shared" si="20"/>
        <v>2</v>
      </c>
      <c r="G356" s="27" t="s">
        <v>1412</v>
      </c>
      <c r="H356" s="33"/>
      <c r="I356" s="7" t="str">
        <f>IFERROR(__xludf.DUMMYFUNCTION("regexreplace(lower(C356), ""_"", """")"),"cardiobloodtransfusion")</f>
        <v>cardiobloodtransfusion</v>
      </c>
      <c r="J356" s="9" t="b">
        <f t="shared" si="2"/>
        <v>1</v>
      </c>
      <c r="K356" s="7" t="str">
        <f>IFERROR(__xludf.DUMMYFUNCTION("regexreplace(G356, ""_"", """")"),"cardiobloodtransfusion")</f>
        <v>cardiobloodtransfusion</v>
      </c>
      <c r="L356" s="33" t="s">
        <v>1413</v>
      </c>
      <c r="M356" s="33" t="s">
        <v>1414</v>
      </c>
    </row>
    <row r="357">
      <c r="A357" s="33"/>
      <c r="B357" s="27" t="s">
        <v>853</v>
      </c>
      <c r="C357" s="27" t="s">
        <v>1415</v>
      </c>
      <c r="D357" s="27" t="s">
        <v>43</v>
      </c>
      <c r="E357" s="33" t="s">
        <v>880</v>
      </c>
      <c r="F357" s="31">
        <f t="shared" si="20"/>
        <v>2</v>
      </c>
      <c r="G357" s="27" t="s">
        <v>1416</v>
      </c>
      <c r="H357" s="33"/>
      <c r="I357" s="7" t="str">
        <f>IFERROR(__xludf.DUMMYFUNCTION("regexreplace(lower(C357), ""_"", """")"),"cardioplatelets")</f>
        <v>cardioplatelets</v>
      </c>
      <c r="J357" s="9" t="b">
        <f t="shared" si="2"/>
        <v>1</v>
      </c>
      <c r="K357" s="7" t="str">
        <f>IFERROR(__xludf.DUMMYFUNCTION("regexreplace(G357, ""_"", """")"),"cardioplatelets")</f>
        <v>cardioplatelets</v>
      </c>
      <c r="L357" s="33" t="s">
        <v>1417</v>
      </c>
      <c r="M357" s="33" t="s">
        <v>1418</v>
      </c>
    </row>
    <row r="358">
      <c r="A358" s="12"/>
      <c r="B358" s="12"/>
      <c r="C358" s="13"/>
      <c r="D358" s="12"/>
      <c r="E358" s="12"/>
      <c r="F358" s="12"/>
      <c r="G358" s="12"/>
      <c r="H358" s="12"/>
      <c r="I358" s="13" t="str">
        <f>IFERROR(__xludf.DUMMYFUNCTION("regexreplace(lower(C358), ""_"", """")"),"")</f>
        <v/>
      </c>
      <c r="J358" s="14" t="str">
        <f t="shared" si="2"/>
        <v/>
      </c>
      <c r="K358" s="13" t="str">
        <f>IFERROR(__xludf.DUMMYFUNCTION("regexreplace(G358, ""_"", """")"),"")</f>
        <v/>
      </c>
      <c r="L358" s="12"/>
      <c r="M358" s="12"/>
    </row>
    <row r="359">
      <c r="A359" s="27" t="s">
        <v>1326</v>
      </c>
      <c r="B359" s="27" t="s">
        <v>886</v>
      </c>
      <c r="C359" s="32" t="s">
        <v>1419</v>
      </c>
      <c r="D359" s="27" t="s">
        <v>34</v>
      </c>
      <c r="E359" s="33" t="s">
        <v>1420</v>
      </c>
      <c r="F359" s="31">
        <f t="shared" ref="F359:F367" si="21">counta(L359:M359)</f>
        <v>2</v>
      </c>
      <c r="G359" s="32" t="s">
        <v>1421</v>
      </c>
      <c r="H359" s="33"/>
      <c r="I359" s="7" t="str">
        <f>IFERROR(__xludf.DUMMYFUNCTION("regexreplace(lower(C359), ""_"", """")"),"respiratorytimeslotmin")</f>
        <v>respiratorytimeslotmin</v>
      </c>
      <c r="J359" s="9" t="b">
        <f t="shared" si="2"/>
        <v>1</v>
      </c>
      <c r="K359" s="7" t="str">
        <f>IFERROR(__xludf.DUMMYFUNCTION("regexreplace(G359, ""_"", """")"),"respiratorytimeslotmin")</f>
        <v>respiratorytimeslotmin</v>
      </c>
      <c r="L359" s="33" t="s">
        <v>1422</v>
      </c>
      <c r="M359" s="33" t="s">
        <v>1423</v>
      </c>
    </row>
    <row r="360">
      <c r="A360" s="33"/>
      <c r="B360" s="27" t="s">
        <v>886</v>
      </c>
      <c r="C360" s="27" t="s">
        <v>1424</v>
      </c>
      <c r="D360" s="27" t="s">
        <v>29</v>
      </c>
      <c r="E360" s="30" t="s">
        <v>888</v>
      </c>
      <c r="F360" s="31">
        <f t="shared" si="21"/>
        <v>2</v>
      </c>
      <c r="G360" s="27" t="s">
        <v>1425</v>
      </c>
      <c r="H360" s="33"/>
      <c r="I360" s="7" t="str">
        <f>IFERROR(__xludf.DUMMYFUNCTION("regexreplace(lower(C360), ""_"", """")"),"respiratorydate")</f>
        <v>respiratorydate</v>
      </c>
      <c r="J360" s="9" t="b">
        <f t="shared" si="2"/>
        <v>1</v>
      </c>
      <c r="K360" s="7" t="str">
        <f>IFERROR(__xludf.DUMMYFUNCTION("regexreplace(G360, ""_"", """")"),"respiratorydate")</f>
        <v>respiratorydate</v>
      </c>
      <c r="L360" s="33" t="s">
        <v>1426</v>
      </c>
      <c r="M360" s="33" t="s">
        <v>1427</v>
      </c>
    </row>
    <row r="361">
      <c r="A361" s="33"/>
      <c r="B361" s="27" t="s">
        <v>886</v>
      </c>
      <c r="C361" s="27" t="s">
        <v>1428</v>
      </c>
      <c r="D361" s="27" t="s">
        <v>148</v>
      </c>
      <c r="E361" s="30" t="s">
        <v>892</v>
      </c>
      <c r="F361" s="31">
        <f t="shared" si="21"/>
        <v>2</v>
      </c>
      <c r="G361" s="27" t="s">
        <v>1429</v>
      </c>
      <c r="H361" s="33"/>
      <c r="I361" s="7" t="str">
        <f>IFERROR(__xludf.DUMMYFUNCTION("regexreplace(lower(C361), ""_"", """")"),"respiratorytime")</f>
        <v>respiratorytime</v>
      </c>
      <c r="J361" s="9" t="b">
        <f t="shared" si="2"/>
        <v>1</v>
      </c>
      <c r="K361" s="7" t="str">
        <f>IFERROR(__xludf.DUMMYFUNCTION("regexreplace(G361, ""_"", """")"),"respiratorytime")</f>
        <v>respiratorytime</v>
      </c>
      <c r="L361" s="33" t="s">
        <v>1430</v>
      </c>
      <c r="M361" s="33" t="s">
        <v>1431</v>
      </c>
    </row>
    <row r="362">
      <c r="A362" s="33"/>
      <c r="B362" s="27" t="s">
        <v>886</v>
      </c>
      <c r="C362" s="27" t="s">
        <v>895</v>
      </c>
      <c r="D362" s="27" t="s">
        <v>895</v>
      </c>
      <c r="E362" s="33" t="s">
        <v>896</v>
      </c>
      <c r="F362" s="31">
        <f t="shared" si="21"/>
        <v>2</v>
      </c>
      <c r="G362" s="27" t="s">
        <v>1432</v>
      </c>
      <c r="H362" s="33"/>
      <c r="I362" s="7" t="str">
        <f>IFERROR(__xludf.DUMMYFUNCTION("regexreplace(lower(C362), ""_"", """")"),"respiratorysupporttype")</f>
        <v>respiratorysupporttype</v>
      </c>
      <c r="J362" s="9" t="b">
        <f t="shared" si="2"/>
        <v>1</v>
      </c>
      <c r="K362" s="7" t="str">
        <f>IFERROR(__xludf.DUMMYFUNCTION("regexreplace(G362, ""_"", """")"),"respiratorysupporttype")</f>
        <v>respiratorysupporttype</v>
      </c>
      <c r="L362" s="33" t="s">
        <v>1433</v>
      </c>
      <c r="M362" s="33" t="s">
        <v>1434</v>
      </c>
    </row>
    <row r="363">
      <c r="A363" s="33"/>
      <c r="B363" s="27" t="s">
        <v>886</v>
      </c>
      <c r="C363" s="27" t="s">
        <v>1435</v>
      </c>
      <c r="D363" s="27" t="s">
        <v>154</v>
      </c>
      <c r="E363" s="33" t="s">
        <v>1436</v>
      </c>
      <c r="F363" s="31">
        <f t="shared" si="21"/>
        <v>2</v>
      </c>
      <c r="G363" s="27" t="s">
        <v>1437</v>
      </c>
      <c r="H363" s="33"/>
      <c r="I363" s="7" t="str">
        <f>IFERROR(__xludf.DUMMYFUNCTION("regexreplace(lower(C363), ""_"", """")"),"respiratoryfio2")</f>
        <v>respiratoryfio2</v>
      </c>
      <c r="J363" s="9" t="b">
        <f t="shared" si="2"/>
        <v>1</v>
      </c>
      <c r="K363" s="7" t="str">
        <f>IFERROR(__xludf.DUMMYFUNCTION("regexreplace(G363, ""_"", """")"),"respiratoryfio2")</f>
        <v>respiratoryfio2</v>
      </c>
      <c r="L363" s="33" t="s">
        <v>1438</v>
      </c>
      <c r="M363" s="33" t="s">
        <v>1439</v>
      </c>
    </row>
    <row r="364">
      <c r="A364" s="33"/>
      <c r="B364" s="27" t="s">
        <v>886</v>
      </c>
      <c r="C364" s="27" t="s">
        <v>1440</v>
      </c>
      <c r="D364" s="27" t="s">
        <v>154</v>
      </c>
      <c r="E364" s="33" t="s">
        <v>902</v>
      </c>
      <c r="F364" s="31">
        <f t="shared" si="21"/>
        <v>2</v>
      </c>
      <c r="G364" s="27" t="s">
        <v>1441</v>
      </c>
      <c r="H364" s="33"/>
      <c r="I364" s="7" t="str">
        <f>IFERROR(__xludf.DUMMYFUNCTION("regexreplace(lower(C364), ""_"", """")"),"respiratoryratehz")</f>
        <v>respiratoryratehz</v>
      </c>
      <c r="J364" s="9" t="b">
        <f t="shared" si="2"/>
        <v>1</v>
      </c>
      <c r="K364" s="7" t="str">
        <f>IFERROR(__xludf.DUMMYFUNCTION("regexreplace(G364, ""_"", """")"),"respiratoryratehz")</f>
        <v>respiratoryratehz</v>
      </c>
      <c r="L364" s="33" t="s">
        <v>1442</v>
      </c>
      <c r="M364" s="33" t="s">
        <v>1443</v>
      </c>
    </row>
    <row r="365">
      <c r="A365" s="33"/>
      <c r="B365" s="27" t="s">
        <v>886</v>
      </c>
      <c r="C365" s="27" t="s">
        <v>1444</v>
      </c>
      <c r="D365" s="27" t="s">
        <v>154</v>
      </c>
      <c r="E365" s="33" t="s">
        <v>905</v>
      </c>
      <c r="F365" s="31">
        <f t="shared" si="21"/>
        <v>2</v>
      </c>
      <c r="G365" s="27" t="s">
        <v>1445</v>
      </c>
      <c r="H365" s="33"/>
      <c r="I365" s="7" t="str">
        <f>IFERROR(__xludf.DUMMYFUNCTION("regexreplace(lower(C365), ""_"", """")"),"respiratorypipcmh2o")</f>
        <v>respiratorypipcmh2o</v>
      </c>
      <c r="J365" s="9" t="b">
        <f t="shared" si="2"/>
        <v>1</v>
      </c>
      <c r="K365" s="7" t="str">
        <f>IFERROR(__xludf.DUMMYFUNCTION("regexreplace(G365, ""_"", """")"),"respiratorypipcmh2o")</f>
        <v>respiratorypipcmh2o</v>
      </c>
      <c r="L365" s="33" t="s">
        <v>1446</v>
      </c>
      <c r="M365" s="33" t="s">
        <v>1447</v>
      </c>
    </row>
    <row r="366">
      <c r="A366" s="33"/>
      <c r="B366" s="27" t="s">
        <v>886</v>
      </c>
      <c r="C366" s="27" t="s">
        <v>1448</v>
      </c>
      <c r="D366" s="27" t="s">
        <v>154</v>
      </c>
      <c r="E366" s="33" t="s">
        <v>908</v>
      </c>
      <c r="F366" s="31">
        <f t="shared" si="21"/>
        <v>2</v>
      </c>
      <c r="G366" s="27" t="s">
        <v>1449</v>
      </c>
      <c r="H366" s="33"/>
      <c r="I366" s="7" t="str">
        <f>IFERROR(__xludf.DUMMYFUNCTION("regexreplace(lower(C366), ""_"", """")"),"respiratorymapcmh2o")</f>
        <v>respiratorymapcmh2o</v>
      </c>
      <c r="J366" s="9" t="b">
        <f t="shared" si="2"/>
        <v>1</v>
      </c>
      <c r="K366" s="7" t="str">
        <f>IFERROR(__xludf.DUMMYFUNCTION("regexreplace(G366, ""_"", """")"),"respiratorymapcmh2o")</f>
        <v>respiratorymapcmh2o</v>
      </c>
      <c r="L366" s="33" t="s">
        <v>1450</v>
      </c>
      <c r="M366" s="33" t="s">
        <v>1451</v>
      </c>
    </row>
    <row r="367">
      <c r="A367" s="33"/>
      <c r="B367" s="27" t="s">
        <v>886</v>
      </c>
      <c r="C367" s="27" t="s">
        <v>1452</v>
      </c>
      <c r="D367" s="27" t="s">
        <v>154</v>
      </c>
      <c r="E367" s="33" t="s">
        <v>911</v>
      </c>
      <c r="F367" s="31">
        <f t="shared" si="21"/>
        <v>2</v>
      </c>
      <c r="G367" s="27" t="s">
        <v>1453</v>
      </c>
      <c r="H367" s="33"/>
      <c r="I367" s="7" t="str">
        <f>IFERROR(__xludf.DUMMYFUNCTION("regexreplace(lower(C367), ""_"", """")"),"respiratorypeepcmh2o")</f>
        <v>respiratorypeepcmh2o</v>
      </c>
      <c r="J367" s="9" t="b">
        <f t="shared" si="2"/>
        <v>1</v>
      </c>
      <c r="K367" s="7" t="str">
        <f>IFERROR(__xludf.DUMMYFUNCTION("regexreplace(G367, ""_"", """")"),"respiratorypeepcmh2o")</f>
        <v>respiratorypeepcmh2o</v>
      </c>
      <c r="L367" s="33" t="s">
        <v>1454</v>
      </c>
      <c r="M367" s="33" t="s">
        <v>1455</v>
      </c>
    </row>
    <row r="368">
      <c r="A368" s="12"/>
      <c r="B368" s="12"/>
      <c r="C368" s="13"/>
      <c r="D368" s="12"/>
      <c r="E368" s="12"/>
      <c r="F368" s="12"/>
      <c r="G368" s="12" t="s">
        <v>913</v>
      </c>
      <c r="H368" s="12"/>
      <c r="I368" s="13" t="str">
        <f>IFERROR(__xludf.DUMMYFUNCTION("regexreplace(lower(C368), ""_"", """")"),"")</f>
        <v/>
      </c>
      <c r="J368" s="14" t="str">
        <f t="shared" si="2"/>
        <v/>
      </c>
      <c r="K368" s="13" t="str">
        <f>IFERROR(__xludf.DUMMYFUNCTION("regexreplace(G368, ""_"", """")"),"")</f>
        <v/>
      </c>
      <c r="L368" s="12"/>
      <c r="M368" s="12"/>
    </row>
    <row r="369">
      <c r="A369" s="27" t="s">
        <v>1326</v>
      </c>
      <c r="B369" s="27" t="s">
        <v>914</v>
      </c>
      <c r="C369" s="32" t="s">
        <v>1456</v>
      </c>
      <c r="D369" s="27" t="s">
        <v>34</v>
      </c>
      <c r="E369" s="33" t="s">
        <v>1457</v>
      </c>
      <c r="F369" s="31">
        <f t="shared" ref="F369:F382" si="22">counta(L369:M369)</f>
        <v>1</v>
      </c>
      <c r="G369" s="32" t="s">
        <v>1458</v>
      </c>
      <c r="H369" s="33"/>
      <c r="I369" s="7" t="str">
        <f>IFERROR(__xludf.DUMMYFUNCTION("regexreplace(lower(C369), ""_"", """")"),"bloodgastimeslotmin")</f>
        <v>bloodgastimeslotmin</v>
      </c>
      <c r="J369" s="9" t="b">
        <f t="shared" si="2"/>
        <v>1</v>
      </c>
      <c r="K369" s="7" t="str">
        <f>IFERROR(__xludf.DUMMYFUNCTION("regexreplace(G369, ""_"", """")"),"bloodgastimeslotmin")</f>
        <v>bloodgastimeslotmin</v>
      </c>
      <c r="L369" s="33" t="s">
        <v>1459</v>
      </c>
      <c r="M369" s="33"/>
    </row>
    <row r="370">
      <c r="A370" s="33"/>
      <c r="B370" s="27" t="s">
        <v>914</v>
      </c>
      <c r="C370" s="27" t="s">
        <v>1460</v>
      </c>
      <c r="D370" s="27" t="s">
        <v>29</v>
      </c>
      <c r="E370" s="33" t="s">
        <v>916</v>
      </c>
      <c r="F370" s="31">
        <f t="shared" si="22"/>
        <v>2</v>
      </c>
      <c r="G370" s="27" t="s">
        <v>1461</v>
      </c>
      <c r="H370" s="33"/>
      <c r="I370" s="7" t="str">
        <f>IFERROR(__xludf.DUMMYFUNCTION("regexreplace(lower(C370), ""_"", """")"),"bloodgasdate")</f>
        <v>bloodgasdate</v>
      </c>
      <c r="J370" s="9" t="b">
        <f t="shared" si="2"/>
        <v>1</v>
      </c>
      <c r="K370" s="7" t="str">
        <f>IFERROR(__xludf.DUMMYFUNCTION("regexreplace(G370, ""_"", """")"),"bloodgasdate")</f>
        <v>bloodgasdate</v>
      </c>
      <c r="L370" s="33" t="s">
        <v>1462</v>
      </c>
      <c r="M370" s="33" t="s">
        <v>1463</v>
      </c>
    </row>
    <row r="371">
      <c r="A371" s="33"/>
      <c r="B371" s="27" t="s">
        <v>914</v>
      </c>
      <c r="C371" s="27" t="s">
        <v>1464</v>
      </c>
      <c r="D371" s="27" t="s">
        <v>148</v>
      </c>
      <c r="E371" s="33" t="s">
        <v>919</v>
      </c>
      <c r="F371" s="31">
        <f t="shared" si="22"/>
        <v>2</v>
      </c>
      <c r="G371" s="27" t="s">
        <v>1465</v>
      </c>
      <c r="H371" s="33"/>
      <c r="I371" s="7" t="str">
        <f>IFERROR(__xludf.DUMMYFUNCTION("regexreplace(lower(C371), ""_"", """")"),"bloodgastime")</f>
        <v>bloodgastime</v>
      </c>
      <c r="J371" s="9" t="b">
        <f t="shared" si="2"/>
        <v>1</v>
      </c>
      <c r="K371" s="7" t="str">
        <f>IFERROR(__xludf.DUMMYFUNCTION("regexreplace(G371, ""_"", """")"),"bloodgastime")</f>
        <v>bloodgastime</v>
      </c>
      <c r="L371" s="33" t="s">
        <v>1466</v>
      </c>
      <c r="M371" s="33" t="s">
        <v>1467</v>
      </c>
    </row>
    <row r="372">
      <c r="A372" s="33"/>
      <c r="B372" s="27" t="s">
        <v>914</v>
      </c>
      <c r="C372" s="27" t="s">
        <v>690</v>
      </c>
      <c r="D372" s="27" t="s">
        <v>690</v>
      </c>
      <c r="E372" s="33"/>
      <c r="F372" s="31">
        <f t="shared" si="22"/>
        <v>1</v>
      </c>
      <c r="G372" s="27" t="s">
        <v>1468</v>
      </c>
      <c r="H372" s="33"/>
      <c r="I372" s="7" t="str">
        <f>IFERROR(__xludf.DUMMYFUNCTION("regexreplace(lower(C372), ""_"", """")"),"bloodgassrc")</f>
        <v>bloodgassrc</v>
      </c>
      <c r="J372" s="9" t="b">
        <f t="shared" si="2"/>
        <v>1</v>
      </c>
      <c r="K372" s="7" t="str">
        <f>IFERROR(__xludf.DUMMYFUNCTION("regexreplace(G372, ""_"", """")"),"bloodgassrc")</f>
        <v>bloodgassrc</v>
      </c>
      <c r="L372" s="33"/>
      <c r="M372" s="33" t="s">
        <v>1469</v>
      </c>
    </row>
    <row r="373">
      <c r="A373" s="33"/>
      <c r="B373" s="27" t="s">
        <v>914</v>
      </c>
      <c r="C373" s="27" t="s">
        <v>1470</v>
      </c>
      <c r="D373" s="27" t="s">
        <v>154</v>
      </c>
      <c r="E373" s="33" t="s">
        <v>924</v>
      </c>
      <c r="F373" s="31">
        <f t="shared" si="22"/>
        <v>2</v>
      </c>
      <c r="G373" s="27" t="s">
        <v>1471</v>
      </c>
      <c r="H373" s="33"/>
      <c r="I373" s="7" t="str">
        <f>IFERROR(__xludf.DUMMYFUNCTION("regexreplace(lower(C373), ""_"", """")"),"bloodgasph")</f>
        <v>bloodgasph</v>
      </c>
      <c r="J373" s="9" t="b">
        <f t="shared" si="2"/>
        <v>1</v>
      </c>
      <c r="K373" s="7" t="str">
        <f>IFERROR(__xludf.DUMMYFUNCTION("regexreplace(G373, ""_"", """")"),"bloodgasph")</f>
        <v>bloodgasph</v>
      </c>
      <c r="L373" s="33" t="s">
        <v>1472</v>
      </c>
      <c r="M373" s="33" t="s">
        <v>1473</v>
      </c>
    </row>
    <row r="374">
      <c r="A374" s="33"/>
      <c r="B374" s="27" t="s">
        <v>914</v>
      </c>
      <c r="C374" s="27" t="s">
        <v>1474</v>
      </c>
      <c r="D374" s="27" t="s">
        <v>154</v>
      </c>
      <c r="E374" s="33" t="s">
        <v>927</v>
      </c>
      <c r="F374" s="31">
        <f t="shared" si="22"/>
        <v>2</v>
      </c>
      <c r="G374" s="27" t="s">
        <v>1475</v>
      </c>
      <c r="H374" s="33"/>
      <c r="I374" s="7" t="str">
        <f>IFERROR(__xludf.DUMMYFUNCTION("regexreplace(lower(C374), ""_"", """")"),"bloodgaspco2mmhg")</f>
        <v>bloodgaspco2mmhg</v>
      </c>
      <c r="J374" s="9" t="b">
        <f t="shared" si="2"/>
        <v>1</v>
      </c>
      <c r="K374" s="7" t="str">
        <f>IFERROR(__xludf.DUMMYFUNCTION("regexreplace(G374, ""_"", """")"),"bloodgaspco2mmhg")</f>
        <v>bloodgaspco2mmhg</v>
      </c>
      <c r="L374" s="33" t="s">
        <v>1476</v>
      </c>
      <c r="M374" s="33" t="s">
        <v>1477</v>
      </c>
    </row>
    <row r="375">
      <c r="A375" s="33"/>
      <c r="B375" s="27" t="s">
        <v>914</v>
      </c>
      <c r="C375" s="27" t="s">
        <v>1478</v>
      </c>
      <c r="D375" s="27" t="s">
        <v>154</v>
      </c>
      <c r="E375" s="33" t="s">
        <v>930</v>
      </c>
      <c r="F375" s="31">
        <f t="shared" si="22"/>
        <v>2</v>
      </c>
      <c r="G375" s="27" t="s">
        <v>1479</v>
      </c>
      <c r="H375" s="33"/>
      <c r="I375" s="7" t="str">
        <f>IFERROR(__xludf.DUMMYFUNCTION("regexreplace(lower(C375), ""_"", """")"),"bloodgaspo2mmhg")</f>
        <v>bloodgaspo2mmhg</v>
      </c>
      <c r="J375" s="9" t="b">
        <f t="shared" si="2"/>
        <v>1</v>
      </c>
      <c r="K375" s="7" t="str">
        <f>IFERROR(__xludf.DUMMYFUNCTION("regexreplace(G375, ""_"", """")"),"bloodgaspo2mmhg")</f>
        <v>bloodgaspo2mmhg</v>
      </c>
      <c r="L375" s="33" t="s">
        <v>1480</v>
      </c>
      <c r="M375" s="33" t="s">
        <v>1481</v>
      </c>
    </row>
    <row r="376">
      <c r="A376" s="33"/>
      <c r="B376" s="27" t="s">
        <v>914</v>
      </c>
      <c r="C376" s="27" t="s">
        <v>1482</v>
      </c>
      <c r="D376" s="27" t="s">
        <v>154</v>
      </c>
      <c r="E376" s="33" t="s">
        <v>933</v>
      </c>
      <c r="F376" s="31">
        <f t="shared" si="22"/>
        <v>2</v>
      </c>
      <c r="G376" s="27" t="s">
        <v>1483</v>
      </c>
      <c r="H376" s="33"/>
      <c r="I376" s="7" t="str">
        <f>IFERROR(__xludf.DUMMYFUNCTION("regexreplace(lower(C376), ""_"", """")"),"bloodgashco3meqperl")</f>
        <v>bloodgashco3meqperl</v>
      </c>
      <c r="J376" s="9" t="b">
        <f t="shared" si="2"/>
        <v>1</v>
      </c>
      <c r="K376" s="7" t="str">
        <f>IFERROR(__xludf.DUMMYFUNCTION("regexreplace(G376, ""_"", """")"),"bloodgashco3meqperl")</f>
        <v>bloodgashco3meqperl</v>
      </c>
      <c r="L376" s="33" t="s">
        <v>1484</v>
      </c>
      <c r="M376" s="33" t="s">
        <v>1485</v>
      </c>
    </row>
    <row r="377">
      <c r="A377" s="33"/>
      <c r="B377" s="27" t="s">
        <v>914</v>
      </c>
      <c r="C377" s="27" t="s">
        <v>1486</v>
      </c>
      <c r="D377" s="27" t="s">
        <v>154</v>
      </c>
      <c r="E377" s="33" t="s">
        <v>936</v>
      </c>
      <c r="F377" s="31">
        <f t="shared" si="22"/>
        <v>2</v>
      </c>
      <c r="G377" s="27" t="s">
        <v>1487</v>
      </c>
      <c r="H377" s="33"/>
      <c r="I377" s="7" t="str">
        <f>IFERROR(__xludf.DUMMYFUNCTION("regexreplace(lower(C377), ""_"", """")"),"bloodgasbasedeficitmeqperl")</f>
        <v>bloodgasbasedeficitmeqperl</v>
      </c>
      <c r="J377" s="9" t="b">
        <f t="shared" si="2"/>
        <v>1</v>
      </c>
      <c r="K377" s="7" t="str">
        <f>IFERROR(__xludf.DUMMYFUNCTION("regexreplace(G377, ""_"", """")"),"bloodgasbasedeficitmeqperl")</f>
        <v>bloodgasbasedeficitmeqperl</v>
      </c>
      <c r="L377" s="33" t="s">
        <v>1488</v>
      </c>
      <c r="M377" s="33" t="s">
        <v>1489</v>
      </c>
    </row>
    <row r="378">
      <c r="A378" s="33"/>
      <c r="B378" s="27" t="s">
        <v>914</v>
      </c>
      <c r="C378" s="27" t="s">
        <v>1490</v>
      </c>
      <c r="D378" s="27" t="s">
        <v>154</v>
      </c>
      <c r="E378" s="33" t="s">
        <v>939</v>
      </c>
      <c r="F378" s="31">
        <f t="shared" si="22"/>
        <v>1</v>
      </c>
      <c r="G378" s="27" t="s">
        <v>1491</v>
      </c>
      <c r="H378" s="33"/>
      <c r="I378" s="7" t="str">
        <f>IFERROR(__xludf.DUMMYFUNCTION("regexreplace(lower(C378), ""_"", """")"),"bloodgasphcorrect")</f>
        <v>bloodgasphcorrect</v>
      </c>
      <c r="J378" s="9" t="b">
        <f t="shared" si="2"/>
        <v>1</v>
      </c>
      <c r="K378" s="7" t="str">
        <f>IFERROR(__xludf.DUMMYFUNCTION("regexreplace(G378, ""_"", """")"),"bloodgasphcorrect")</f>
        <v>bloodgasphcorrect</v>
      </c>
      <c r="L378" s="33"/>
      <c r="M378" s="33" t="s">
        <v>1492</v>
      </c>
    </row>
    <row r="379">
      <c r="A379" s="33"/>
      <c r="B379" s="27" t="s">
        <v>914</v>
      </c>
      <c r="C379" s="27" t="s">
        <v>1493</v>
      </c>
      <c r="D379" s="27" t="s">
        <v>154</v>
      </c>
      <c r="E379" s="33" t="s">
        <v>942</v>
      </c>
      <c r="F379" s="31">
        <f t="shared" si="22"/>
        <v>1</v>
      </c>
      <c r="G379" s="27" t="s">
        <v>1494</v>
      </c>
      <c r="H379" s="33"/>
      <c r="I379" s="7" t="str">
        <f>IFERROR(__xludf.DUMMYFUNCTION("regexreplace(lower(C379), ""_"", """")"),"bloodgaspco2correctmmhg")</f>
        <v>bloodgaspco2correctmmhg</v>
      </c>
      <c r="J379" s="9" t="b">
        <f t="shared" si="2"/>
        <v>1</v>
      </c>
      <c r="K379" s="7" t="str">
        <f>IFERROR(__xludf.DUMMYFUNCTION("regexreplace(G379, ""_"", """")"),"bloodgaspco2correctmmhg")</f>
        <v>bloodgaspco2correctmmhg</v>
      </c>
      <c r="L379" s="33"/>
      <c r="M379" s="33" t="s">
        <v>1495</v>
      </c>
    </row>
    <row r="380">
      <c r="A380" s="33"/>
      <c r="B380" s="27" t="s">
        <v>914</v>
      </c>
      <c r="C380" s="27" t="s">
        <v>1496</v>
      </c>
      <c r="D380" s="27" t="s">
        <v>154</v>
      </c>
      <c r="E380" s="33" t="s">
        <v>945</v>
      </c>
      <c r="F380" s="31">
        <f t="shared" si="22"/>
        <v>1</v>
      </c>
      <c r="G380" s="27" t="s">
        <v>1497</v>
      </c>
      <c r="H380" s="33"/>
      <c r="I380" s="7" t="str">
        <f>IFERROR(__xludf.DUMMYFUNCTION("regexreplace(lower(C380), ""_"", """")"),"bloodgaspo2correctmmhg")</f>
        <v>bloodgaspo2correctmmhg</v>
      </c>
      <c r="J380" s="9" t="b">
        <f t="shared" si="2"/>
        <v>1</v>
      </c>
      <c r="K380" s="7" t="str">
        <f>IFERROR(__xludf.DUMMYFUNCTION("regexreplace(G380, ""_"", """")"),"bloodgaspo2correctmmhg")</f>
        <v>bloodgaspo2correctmmhg</v>
      </c>
      <c r="L380" s="33"/>
      <c r="M380" s="33" t="s">
        <v>1498</v>
      </c>
    </row>
    <row r="381">
      <c r="A381" s="33"/>
      <c r="B381" s="27" t="s">
        <v>914</v>
      </c>
      <c r="C381" s="27" t="s">
        <v>1499</v>
      </c>
      <c r="D381" s="27" t="s">
        <v>154</v>
      </c>
      <c r="E381" s="33" t="s">
        <v>948</v>
      </c>
      <c r="F381" s="31">
        <f t="shared" si="22"/>
        <v>1</v>
      </c>
      <c r="G381" s="27" t="s">
        <v>1500</v>
      </c>
      <c r="H381" s="33"/>
      <c r="I381" s="7" t="str">
        <f>IFERROR(__xludf.DUMMYFUNCTION("regexreplace(lower(C381), ""_"", """")"),"bloodgashco3correctmeqperl")</f>
        <v>bloodgashco3correctmeqperl</v>
      </c>
      <c r="J381" s="9" t="b">
        <f t="shared" si="2"/>
        <v>1</v>
      </c>
      <c r="K381" s="7" t="str">
        <f>IFERROR(__xludf.DUMMYFUNCTION("regexreplace(G381, ""_"", """")"),"bloodgashco3correctmeqperl")</f>
        <v>bloodgashco3correctmeqperl</v>
      </c>
      <c r="L381" s="33"/>
      <c r="M381" s="33" t="s">
        <v>1501</v>
      </c>
    </row>
    <row r="382">
      <c r="A382" s="33"/>
      <c r="B382" s="27" t="s">
        <v>914</v>
      </c>
      <c r="C382" s="27" t="s">
        <v>1502</v>
      </c>
      <c r="D382" s="27" t="s">
        <v>154</v>
      </c>
      <c r="E382" s="33" t="s">
        <v>951</v>
      </c>
      <c r="F382" s="31">
        <f t="shared" si="22"/>
        <v>1</v>
      </c>
      <c r="G382" s="27" t="s">
        <v>1503</v>
      </c>
      <c r="H382" s="33"/>
      <c r="I382" s="7" t="str">
        <f>IFERROR(__xludf.DUMMYFUNCTION("regexreplace(lower(C382), ""_"", """")"),"bloodgasbasedeficitcorrectmeqperl")</f>
        <v>bloodgasbasedeficitcorrectmeqperl</v>
      </c>
      <c r="J382" s="9" t="b">
        <f t="shared" si="2"/>
        <v>1</v>
      </c>
      <c r="K382" s="7" t="str">
        <f>IFERROR(__xludf.DUMMYFUNCTION("regexreplace(G382, ""_"", """")"),"bloodgasbasedeficitcorrectmeqperl")</f>
        <v>bloodgasbasedeficitcorrectmeqperl</v>
      </c>
      <c r="L382" s="33"/>
      <c r="M382" s="33" t="s">
        <v>1504</v>
      </c>
    </row>
    <row r="383">
      <c r="A383" s="12"/>
      <c r="B383" s="12"/>
      <c r="C383" s="13"/>
      <c r="D383" s="12"/>
      <c r="E383" s="12"/>
      <c r="F383" s="12"/>
      <c r="G383" s="12"/>
      <c r="H383" s="12"/>
      <c r="I383" s="13" t="str">
        <f>IFERROR(__xludf.DUMMYFUNCTION("regexreplace(lower(C383), ""_"", """")"),"")</f>
        <v/>
      </c>
      <c r="J383" s="14" t="str">
        <f t="shared" si="2"/>
        <v/>
      </c>
      <c r="K383" s="13" t="str">
        <f>IFERROR(__xludf.DUMMYFUNCTION("regexreplace(G383, ""_"", """")"),"")</f>
        <v/>
      </c>
      <c r="L383" s="12"/>
      <c r="M383" s="12"/>
    </row>
    <row r="384">
      <c r="A384" s="27" t="s">
        <v>1326</v>
      </c>
      <c r="B384" s="27" t="s">
        <v>953</v>
      </c>
      <c r="C384" s="27" t="s">
        <v>1505</v>
      </c>
      <c r="D384" s="27" t="s">
        <v>43</v>
      </c>
      <c r="E384" s="33" t="s">
        <v>955</v>
      </c>
      <c r="F384" s="31">
        <f t="shared" ref="F384:F388" si="23">counta(L384:M384)</f>
        <v>1</v>
      </c>
      <c r="G384" s="27" t="s">
        <v>1505</v>
      </c>
      <c r="H384" s="33"/>
      <c r="I384" s="7" t="str">
        <f>IFERROR(__xludf.DUMMYFUNCTION("regexreplace(lower(C384), ""_"", """")"),"hematology")</f>
        <v>hematology</v>
      </c>
      <c r="J384" s="9" t="b">
        <f t="shared" si="2"/>
        <v>1</v>
      </c>
      <c r="K384" s="7" t="str">
        <f>IFERROR(__xludf.DUMMYFUNCTION("regexreplace(G384, ""_"", """")"),"hematology")</f>
        <v>hematology</v>
      </c>
      <c r="L384" s="33"/>
      <c r="M384" s="33" t="s">
        <v>1506</v>
      </c>
    </row>
    <row r="385">
      <c r="A385" s="33"/>
      <c r="B385" s="27" t="s">
        <v>953</v>
      </c>
      <c r="C385" s="32" t="s">
        <v>1507</v>
      </c>
      <c r="D385" s="27" t="s">
        <v>34</v>
      </c>
      <c r="E385" s="33" t="s">
        <v>1508</v>
      </c>
      <c r="F385" s="31">
        <f t="shared" si="23"/>
        <v>1</v>
      </c>
      <c r="G385" s="32" t="s">
        <v>1509</v>
      </c>
      <c r="H385" s="33"/>
      <c r="I385" s="7" t="str">
        <f>IFERROR(__xludf.DUMMYFUNCTION("regexreplace(lower(C385), ""_"", """")"),"hematologytimeslotmin")</f>
        <v>hematologytimeslotmin</v>
      </c>
      <c r="J385" s="9" t="b">
        <f t="shared" si="2"/>
        <v>1</v>
      </c>
      <c r="K385" s="7" t="str">
        <f>IFERROR(__xludf.DUMMYFUNCTION("regexreplace(G385, ""_"", """")"),"hematologytimeslotmin")</f>
        <v>hematologytimeslotmin</v>
      </c>
      <c r="L385" s="33" t="s">
        <v>1510</v>
      </c>
      <c r="M385" s="33"/>
    </row>
    <row r="386">
      <c r="A386" s="33"/>
      <c r="B386" s="27" t="s">
        <v>953</v>
      </c>
      <c r="C386" s="27" t="s">
        <v>1511</v>
      </c>
      <c r="D386" s="27" t="s">
        <v>29</v>
      </c>
      <c r="E386" s="33" t="s">
        <v>958</v>
      </c>
      <c r="F386" s="31">
        <f t="shared" si="23"/>
        <v>1</v>
      </c>
      <c r="G386" s="27" t="s">
        <v>1512</v>
      </c>
      <c r="H386" s="33"/>
      <c r="I386" s="7" t="str">
        <f>IFERROR(__xludf.DUMMYFUNCTION("regexreplace(lower(C386), ""_"", """")"),"hematologydate")</f>
        <v>hematologydate</v>
      </c>
      <c r="J386" s="9" t="b">
        <f t="shared" si="2"/>
        <v>1</v>
      </c>
      <c r="K386" s="7" t="str">
        <f>IFERROR(__xludf.DUMMYFUNCTION("regexreplace(G386, ""_"", """")"),"hematologydate")</f>
        <v>hematologydate</v>
      </c>
      <c r="L386" s="33" t="s">
        <v>1513</v>
      </c>
      <c r="M386" s="33"/>
    </row>
    <row r="387">
      <c r="A387" s="33"/>
      <c r="B387" s="27" t="s">
        <v>953</v>
      </c>
      <c r="C387" s="27" t="s">
        <v>1514</v>
      </c>
      <c r="D387" s="27" t="s">
        <v>148</v>
      </c>
      <c r="E387" s="33" t="s">
        <v>961</v>
      </c>
      <c r="F387" s="31">
        <f t="shared" si="23"/>
        <v>1</v>
      </c>
      <c r="G387" s="27" t="s">
        <v>1515</v>
      </c>
      <c r="H387" s="33"/>
      <c r="I387" s="7" t="str">
        <f>IFERROR(__xludf.DUMMYFUNCTION("regexreplace(lower(C387), ""_"", """")"),"hematologytime")</f>
        <v>hematologytime</v>
      </c>
      <c r="J387" s="9" t="b">
        <f t="shared" si="2"/>
        <v>1</v>
      </c>
      <c r="K387" s="7" t="str">
        <f>IFERROR(__xludf.DUMMYFUNCTION("regexreplace(G387, ""_"", """")"),"hematologytime")</f>
        <v>hematologytime</v>
      </c>
      <c r="L387" s="33" t="s">
        <v>1516</v>
      </c>
      <c r="M387" s="33"/>
    </row>
    <row r="388">
      <c r="A388" s="33"/>
      <c r="B388" s="27" t="s">
        <v>953</v>
      </c>
      <c r="C388" s="27" t="s">
        <v>1517</v>
      </c>
      <c r="D388" s="27" t="s">
        <v>154</v>
      </c>
      <c r="E388" s="33" t="s">
        <v>964</v>
      </c>
      <c r="F388" s="31">
        <f t="shared" si="23"/>
        <v>2</v>
      </c>
      <c r="G388" s="32" t="s">
        <v>1518</v>
      </c>
      <c r="H388" s="32" t="s">
        <v>1519</v>
      </c>
      <c r="I388" s="7" t="str">
        <f>IFERROR(__xludf.DUMMYFUNCTION("regexreplace(lower(C388), ""_"", """")"),"hematologywbccpermul")</f>
        <v>hematologywbccpermul</v>
      </c>
      <c r="J388" s="9" t="b">
        <f t="shared" si="2"/>
        <v>1</v>
      </c>
      <c r="K388" s="7" t="str">
        <f>IFERROR(__xludf.DUMMYFUNCTION("regexreplace(G388, ""_"", """")"),"hematologywbccpermul")</f>
        <v>hematologywbccpermul</v>
      </c>
      <c r="L388" s="33" t="s">
        <v>1520</v>
      </c>
      <c r="M388" s="33" t="s">
        <v>1521</v>
      </c>
    </row>
    <row r="389">
      <c r="A389" s="33"/>
      <c r="B389" s="27" t="s">
        <v>953</v>
      </c>
      <c r="C389" s="27" t="s">
        <v>1522</v>
      </c>
      <c r="D389" s="27" t="s">
        <v>154</v>
      </c>
      <c r="E389" s="33" t="s">
        <v>1523</v>
      </c>
      <c r="F389" s="33"/>
      <c r="G389" s="32" t="s">
        <v>1524</v>
      </c>
      <c r="H389" s="27"/>
      <c r="I389" s="7" t="str">
        <f>IFERROR(__xludf.DUMMYFUNCTION("regexreplace(lower(C389), ""_"", """")"),"hematologywbcmincpermul")</f>
        <v>hematologywbcmincpermul</v>
      </c>
      <c r="J389" s="9" t="b">
        <f t="shared" si="2"/>
        <v>1</v>
      </c>
      <c r="K389" s="7" t="str">
        <f>IFERROR(__xludf.DUMMYFUNCTION("regexreplace(G389, ""_"", """")"),"hematologywbcmincpermul")</f>
        <v>hematologywbcmincpermul</v>
      </c>
      <c r="L389" s="33"/>
      <c r="M389" s="33"/>
    </row>
    <row r="390">
      <c r="A390" s="33"/>
      <c r="B390" s="27" t="s">
        <v>953</v>
      </c>
      <c r="C390" s="27" t="s">
        <v>1525</v>
      </c>
      <c r="D390" s="27" t="s">
        <v>154</v>
      </c>
      <c r="E390" s="33" t="s">
        <v>1526</v>
      </c>
      <c r="F390" s="33"/>
      <c r="G390" s="32" t="s">
        <v>1527</v>
      </c>
      <c r="H390" s="27"/>
      <c r="I390" s="7" t="str">
        <f>IFERROR(__xludf.DUMMYFUNCTION("regexreplace(lower(C390), ""_"", """")"),"hematologywbcmaxcpermul")</f>
        <v>hematologywbcmaxcpermul</v>
      </c>
      <c r="J390" s="9" t="b">
        <f t="shared" si="2"/>
        <v>1</v>
      </c>
      <c r="K390" s="7" t="str">
        <f>IFERROR(__xludf.DUMMYFUNCTION("regexreplace(G390, ""_"", """")"),"hematologywbcmaxcpermul")</f>
        <v>hematologywbcmaxcpermul</v>
      </c>
      <c r="L390" s="33"/>
      <c r="M390" s="33"/>
    </row>
    <row r="391">
      <c r="A391" s="33"/>
      <c r="B391" s="27" t="s">
        <v>953</v>
      </c>
      <c r="C391" s="27" t="s">
        <v>1528</v>
      </c>
      <c r="D391" s="27" t="s">
        <v>154</v>
      </c>
      <c r="E391" s="33" t="s">
        <v>967</v>
      </c>
      <c r="F391" s="31">
        <f t="shared" ref="F391:F399" si="24">counta(L391:M391)</f>
        <v>2</v>
      </c>
      <c r="G391" s="32" t="s">
        <v>1529</v>
      </c>
      <c r="H391" s="33"/>
      <c r="I391" s="7" t="str">
        <f>IFERROR(__xludf.DUMMYFUNCTION("regexreplace(lower(C391), ""_"", """")"),"hematologyhemoglobingperdl")</f>
        <v>hematologyhemoglobingperdl</v>
      </c>
      <c r="J391" s="9" t="b">
        <f t="shared" si="2"/>
        <v>1</v>
      </c>
      <c r="K391" s="7" t="str">
        <f>IFERROR(__xludf.DUMMYFUNCTION("regexreplace(G391, ""_"", """")"),"hematologyhemoglobingperdl")</f>
        <v>hematologyhemoglobingperdl</v>
      </c>
      <c r="L391" s="33" t="s">
        <v>1530</v>
      </c>
      <c r="M391" s="33" t="s">
        <v>1531</v>
      </c>
    </row>
    <row r="392">
      <c r="A392" s="33"/>
      <c r="B392" s="27" t="s">
        <v>953</v>
      </c>
      <c r="C392" s="32" t="s">
        <v>1532</v>
      </c>
      <c r="D392" s="27" t="s">
        <v>154</v>
      </c>
      <c r="E392" s="33" t="s">
        <v>970</v>
      </c>
      <c r="F392" s="31">
        <f t="shared" si="24"/>
        <v>2</v>
      </c>
      <c r="G392" s="32" t="s">
        <v>1533</v>
      </c>
      <c r="H392" s="27" t="s">
        <v>1534</v>
      </c>
      <c r="I392" s="7" t="str">
        <f>IFERROR(__xludf.DUMMYFUNCTION("regexreplace(lower(C392), ""_"", """")"),"hematologypolymorphneutrophilscpermul")</f>
        <v>hematologypolymorphneutrophilscpermul</v>
      </c>
      <c r="J392" s="9" t="b">
        <f t="shared" si="2"/>
        <v>1</v>
      </c>
      <c r="K392" s="7" t="str">
        <f>IFERROR(__xludf.DUMMYFUNCTION("regexreplace(G392, ""_"", """")"),"hematologypolymorphneutrophilscpermul")</f>
        <v>hematologypolymorphneutrophilscpermul</v>
      </c>
      <c r="L392" s="33" t="s">
        <v>1535</v>
      </c>
      <c r="M392" s="33" t="s">
        <v>1536</v>
      </c>
    </row>
    <row r="393">
      <c r="A393" s="33"/>
      <c r="B393" s="27" t="s">
        <v>953</v>
      </c>
      <c r="C393" s="32" t="s">
        <v>1537</v>
      </c>
      <c r="D393" s="27" t="s">
        <v>154</v>
      </c>
      <c r="E393" s="33" t="s">
        <v>973</v>
      </c>
      <c r="F393" s="31">
        <f t="shared" si="24"/>
        <v>2</v>
      </c>
      <c r="G393" s="32" t="s">
        <v>1538</v>
      </c>
      <c r="H393" s="27" t="s">
        <v>1534</v>
      </c>
      <c r="I393" s="7" t="str">
        <f>IFERROR(__xludf.DUMMYFUNCTION("regexreplace(lower(C393), ""_"", """")"),"hematologymonocytescpermul")</f>
        <v>hematologymonocytescpermul</v>
      </c>
      <c r="J393" s="9" t="b">
        <f t="shared" si="2"/>
        <v>1</v>
      </c>
      <c r="K393" s="7" t="str">
        <f>IFERROR(__xludf.DUMMYFUNCTION("regexreplace(G393, ""_"", """")"),"hematologymonocytescpermul")</f>
        <v>hematologymonocytescpermul</v>
      </c>
      <c r="L393" s="33" t="s">
        <v>1539</v>
      </c>
      <c r="M393" s="33" t="s">
        <v>1540</v>
      </c>
    </row>
    <row r="394">
      <c r="A394" s="33"/>
      <c r="B394" s="27" t="s">
        <v>953</v>
      </c>
      <c r="C394" s="27" t="s">
        <v>1541</v>
      </c>
      <c r="D394" s="27" t="s">
        <v>154</v>
      </c>
      <c r="E394" s="33" t="s">
        <v>976</v>
      </c>
      <c r="F394" s="31">
        <f t="shared" si="24"/>
        <v>2</v>
      </c>
      <c r="G394" s="32" t="s">
        <v>1542</v>
      </c>
      <c r="H394" s="27" t="s">
        <v>1543</v>
      </c>
      <c r="I394" s="7" t="str">
        <f>IFERROR(__xludf.DUMMYFUNCTION("regexreplace(lower(C394), ""_"", """")"),"hematologylymphocytescpermul")</f>
        <v>hematologylymphocytescpermul</v>
      </c>
      <c r="J394" s="9" t="b">
        <f t="shared" si="2"/>
        <v>1</v>
      </c>
      <c r="K394" s="7" t="str">
        <f>IFERROR(__xludf.DUMMYFUNCTION("regexreplace(G394, ""_"", """")"),"hematologylymphocytescpermul")</f>
        <v>hematologylymphocytescpermul</v>
      </c>
      <c r="L394" s="33" t="s">
        <v>1544</v>
      </c>
      <c r="M394" s="33" t="s">
        <v>1545</v>
      </c>
    </row>
    <row r="395">
      <c r="A395" s="33"/>
      <c r="B395" s="27" t="s">
        <v>953</v>
      </c>
      <c r="C395" s="27" t="s">
        <v>1546</v>
      </c>
      <c r="D395" s="27" t="s">
        <v>154</v>
      </c>
      <c r="E395" s="33" t="s">
        <v>979</v>
      </c>
      <c r="F395" s="31">
        <f t="shared" si="24"/>
        <v>2</v>
      </c>
      <c r="G395" s="32" t="s">
        <v>1547</v>
      </c>
      <c r="H395" s="27" t="s">
        <v>1543</v>
      </c>
      <c r="I395" s="7" t="str">
        <f>IFERROR(__xludf.DUMMYFUNCTION("regexreplace(lower(C395), ""_"", """")"),"hematologyplateletcpermul")</f>
        <v>hematologyplateletcpermul</v>
      </c>
      <c r="J395" s="9" t="b">
        <f t="shared" si="2"/>
        <v>1</v>
      </c>
      <c r="K395" s="7" t="str">
        <f>IFERROR(__xludf.DUMMYFUNCTION("regexreplace(G395, ""_"", """")"),"hematologyplateletcpermul")</f>
        <v>hematologyplateletcpermul</v>
      </c>
      <c r="L395" s="33" t="s">
        <v>1548</v>
      </c>
      <c r="M395" s="33" t="s">
        <v>1549</v>
      </c>
    </row>
    <row r="396">
      <c r="A396" s="33"/>
      <c r="B396" s="27" t="s">
        <v>953</v>
      </c>
      <c r="C396" s="27" t="s">
        <v>1550</v>
      </c>
      <c r="D396" s="27" t="s">
        <v>154</v>
      </c>
      <c r="E396" s="33" t="s">
        <v>982</v>
      </c>
      <c r="F396" s="31">
        <f t="shared" si="24"/>
        <v>2</v>
      </c>
      <c r="G396" s="27" t="s">
        <v>1551</v>
      </c>
      <c r="H396" s="33"/>
      <c r="I396" s="7" t="str">
        <f>IFERROR(__xludf.DUMMYFUNCTION("regexreplace(lower(C396), ""_"", """")"),"hematologypts")</f>
        <v>hematologypts</v>
      </c>
      <c r="J396" s="9" t="b">
        <f t="shared" si="2"/>
        <v>1</v>
      </c>
      <c r="K396" s="7" t="str">
        <f>IFERROR(__xludf.DUMMYFUNCTION("regexreplace(G396, ""_"", """")"),"hematologypts")</f>
        <v>hematologypts</v>
      </c>
      <c r="L396" s="33" t="s">
        <v>1552</v>
      </c>
      <c r="M396" s="33" t="s">
        <v>1553</v>
      </c>
    </row>
    <row r="397">
      <c r="A397" s="33"/>
      <c r="B397" s="27" t="s">
        <v>953</v>
      </c>
      <c r="C397" s="27" t="s">
        <v>1554</v>
      </c>
      <c r="D397" s="27" t="s">
        <v>154</v>
      </c>
      <c r="E397" s="33" t="s">
        <v>985</v>
      </c>
      <c r="F397" s="31">
        <f t="shared" si="24"/>
        <v>2</v>
      </c>
      <c r="G397" s="27" t="s">
        <v>1555</v>
      </c>
      <c r="H397" s="33"/>
      <c r="I397" s="7" t="str">
        <f>IFERROR(__xludf.DUMMYFUNCTION("regexreplace(lower(C397), ""_"", """")"),"hematologyptts")</f>
        <v>hematologyptts</v>
      </c>
      <c r="J397" s="9" t="b">
        <f t="shared" si="2"/>
        <v>1</v>
      </c>
      <c r="K397" s="7" t="str">
        <f>IFERROR(__xludf.DUMMYFUNCTION("regexreplace(G397, ""_"", """")"),"hematologyptts")</f>
        <v>hematologyptts</v>
      </c>
      <c r="L397" s="33" t="s">
        <v>1556</v>
      </c>
      <c r="M397" s="33" t="s">
        <v>1557</v>
      </c>
    </row>
    <row r="398">
      <c r="A398" s="33"/>
      <c r="B398" s="27" t="s">
        <v>953</v>
      </c>
      <c r="C398" s="27" t="s">
        <v>1558</v>
      </c>
      <c r="D398" s="27" t="s">
        <v>154</v>
      </c>
      <c r="E398" s="33" t="s">
        <v>1559</v>
      </c>
      <c r="F398" s="31">
        <f t="shared" si="24"/>
        <v>2</v>
      </c>
      <c r="G398" s="27" t="s">
        <v>1560</v>
      </c>
      <c r="H398" s="27" t="s">
        <v>1534</v>
      </c>
      <c r="I398" s="7" t="str">
        <f>IFERROR(__xludf.DUMMYFUNCTION("regexreplace(lower(C398), ""_"", """")"),"hematologyhematocritmin")</f>
        <v>hematologyhematocritmin</v>
      </c>
      <c r="J398" s="9" t="b">
        <f t="shared" si="2"/>
        <v>1</v>
      </c>
      <c r="K398" s="7" t="str">
        <f>IFERROR(__xludf.DUMMYFUNCTION("regexreplace(G398, ""_"", """")"),"hematologyhematocritmin")</f>
        <v>hematologyhematocritmin</v>
      </c>
      <c r="L398" s="33" t="s">
        <v>1561</v>
      </c>
      <c r="M398" s="33" t="s">
        <v>1562</v>
      </c>
    </row>
    <row r="399">
      <c r="A399" s="33"/>
      <c r="B399" s="27" t="s">
        <v>953</v>
      </c>
      <c r="C399" s="27" t="s">
        <v>1563</v>
      </c>
      <c r="D399" s="27" t="s">
        <v>29</v>
      </c>
      <c r="E399" s="33" t="s">
        <v>1564</v>
      </c>
      <c r="F399" s="31">
        <f t="shared" si="24"/>
        <v>1</v>
      </c>
      <c r="G399" s="27" t="s">
        <v>1565</v>
      </c>
      <c r="H399" s="33"/>
      <c r="I399" s="7" t="str">
        <f>IFERROR(__xludf.DUMMYFUNCTION("regexreplace(lower(C399), ""_"", """")"),"hematologyhematocritmindate")</f>
        <v>hematologyhematocritmindate</v>
      </c>
      <c r="J399" s="9" t="b">
        <f t="shared" si="2"/>
        <v>1</v>
      </c>
      <c r="K399" s="7" t="str">
        <f>IFERROR(__xludf.DUMMYFUNCTION("regexreplace(G399, ""_"", """")"),"hematologyhematocritmindate")</f>
        <v>hematologyhematocritmindate</v>
      </c>
      <c r="L399" s="33"/>
      <c r="M399" s="33" t="s">
        <v>1566</v>
      </c>
    </row>
    <row r="400">
      <c r="A400" s="33"/>
      <c r="B400" s="27" t="s">
        <v>953</v>
      </c>
      <c r="C400" s="27" t="s">
        <v>1567</v>
      </c>
      <c r="D400" s="27" t="s">
        <v>154</v>
      </c>
      <c r="E400" s="33" t="s">
        <v>1568</v>
      </c>
      <c r="F400" s="33"/>
      <c r="G400" s="32" t="s">
        <v>1569</v>
      </c>
      <c r="H400" s="27" t="s">
        <v>1534</v>
      </c>
      <c r="I400" s="7" t="str">
        <f>IFERROR(__xludf.DUMMYFUNCTION("regexreplace(lower(C400), ""_"", """")"),"hematologyhematocritmax")</f>
        <v>hematologyhematocritmax</v>
      </c>
      <c r="J400" s="9" t="b">
        <f t="shared" si="2"/>
        <v>1</v>
      </c>
      <c r="K400" s="7" t="str">
        <f>IFERROR(__xludf.DUMMYFUNCTION("regexreplace(G400, ""_"", """")"),"hematologyhematocritmax")</f>
        <v>hematologyhematocritmax</v>
      </c>
      <c r="L400" s="33"/>
      <c r="M400" s="33"/>
    </row>
    <row r="401">
      <c r="A401" s="33"/>
      <c r="B401" s="27" t="s">
        <v>953</v>
      </c>
      <c r="C401" s="27" t="s">
        <v>1570</v>
      </c>
      <c r="D401" s="27" t="s">
        <v>29</v>
      </c>
      <c r="E401" s="33" t="s">
        <v>1571</v>
      </c>
      <c r="F401" s="33"/>
      <c r="G401" s="32" t="s">
        <v>1572</v>
      </c>
      <c r="H401" s="33"/>
      <c r="I401" s="7" t="str">
        <f>IFERROR(__xludf.DUMMYFUNCTION("regexreplace(lower(C401), ""_"", """")"),"hematologyhematocritmaxdate")</f>
        <v>hematologyhematocritmaxdate</v>
      </c>
      <c r="J401" s="9" t="b">
        <f t="shared" si="2"/>
        <v>1</v>
      </c>
      <c r="K401" s="7" t="str">
        <f>IFERROR(__xludf.DUMMYFUNCTION("regexreplace(G401, ""_"", """")"),"hematologyhematocritmaxdate")</f>
        <v>hematologyhematocritmaxdate</v>
      </c>
      <c r="L401" s="33"/>
      <c r="M401" s="33"/>
    </row>
    <row r="402">
      <c r="A402" s="33"/>
      <c r="B402" s="27" t="s">
        <v>953</v>
      </c>
      <c r="C402" s="27" t="s">
        <v>1573</v>
      </c>
      <c r="D402" s="27" t="s">
        <v>154</v>
      </c>
      <c r="E402" s="33" t="s">
        <v>1574</v>
      </c>
      <c r="F402" s="31">
        <f t="shared" ref="F402:F403" si="25">counta(L402:M402)</f>
        <v>2</v>
      </c>
      <c r="G402" s="32" t="s">
        <v>1575</v>
      </c>
      <c r="H402" s="27" t="s">
        <v>1543</v>
      </c>
      <c r="I402" s="7" t="str">
        <f>IFERROR(__xludf.DUMMYFUNCTION("regexreplace(lower(C402), ""_"", """")"),"hematologyplateletmincpermul")</f>
        <v>hematologyplateletmincpermul</v>
      </c>
      <c r="J402" s="9" t="b">
        <f t="shared" si="2"/>
        <v>1</v>
      </c>
      <c r="K402" s="7" t="str">
        <f>IFERROR(__xludf.DUMMYFUNCTION("regexreplace(G402, ""_"", """")"),"hematologyplateletmincpermul")</f>
        <v>hematologyplateletmincpermul</v>
      </c>
      <c r="L402" s="33" t="s">
        <v>1576</v>
      </c>
      <c r="M402" s="33" t="s">
        <v>1577</v>
      </c>
    </row>
    <row r="403">
      <c r="A403" s="33"/>
      <c r="B403" s="27" t="s">
        <v>953</v>
      </c>
      <c r="C403" s="27" t="s">
        <v>1578</v>
      </c>
      <c r="D403" s="27" t="s">
        <v>29</v>
      </c>
      <c r="E403" s="33" t="s">
        <v>1579</v>
      </c>
      <c r="F403" s="31">
        <f t="shared" si="25"/>
        <v>1</v>
      </c>
      <c r="G403" s="32" t="s">
        <v>1580</v>
      </c>
      <c r="H403" s="33"/>
      <c r="I403" s="7" t="str">
        <f>IFERROR(__xludf.DUMMYFUNCTION("regexreplace(lower(C403), ""_"", """")"),"hematologyplateletmincpermuldate")</f>
        <v>hematologyplateletmincpermuldate</v>
      </c>
      <c r="J403" s="9" t="b">
        <f t="shared" si="2"/>
        <v>1</v>
      </c>
      <c r="K403" s="7" t="str">
        <f>IFERROR(__xludf.DUMMYFUNCTION("regexreplace(G403, ""_"", """")"),"hematologyplateletmincpermuldate")</f>
        <v>hematologyplateletmincpermuldate</v>
      </c>
      <c r="L403" s="33"/>
      <c r="M403" s="33" t="s">
        <v>1581</v>
      </c>
    </row>
    <row r="404">
      <c r="A404" s="12"/>
      <c r="B404" s="12"/>
      <c r="C404" s="13"/>
      <c r="D404" s="12"/>
      <c r="E404" s="12"/>
      <c r="F404" s="12"/>
      <c r="G404" s="12"/>
      <c r="H404" s="12"/>
      <c r="I404" s="13" t="str">
        <f>IFERROR(__xludf.DUMMYFUNCTION("regexreplace(lower(C404), ""_"", """")"),"")</f>
        <v/>
      </c>
      <c r="J404" s="14" t="str">
        <f t="shared" si="2"/>
        <v/>
      </c>
      <c r="K404" s="13" t="str">
        <f>IFERROR(__xludf.DUMMYFUNCTION("regexreplace(G404, ""_"", """")"),"")</f>
        <v/>
      </c>
      <c r="L404" s="12"/>
      <c r="M404" s="12"/>
    </row>
    <row r="405">
      <c r="A405" s="27" t="s">
        <v>1326</v>
      </c>
      <c r="B405" s="27" t="s">
        <v>1582</v>
      </c>
      <c r="C405" s="27" t="s">
        <v>1583</v>
      </c>
      <c r="D405" s="27" t="s">
        <v>154</v>
      </c>
      <c r="E405" s="33" t="s">
        <v>1584</v>
      </c>
      <c r="F405" s="31">
        <f t="shared" ref="F405:F414" si="26">counta(L405:M405)</f>
        <v>1</v>
      </c>
      <c r="G405" s="27" t="s">
        <v>1585</v>
      </c>
      <c r="H405" s="33"/>
      <c r="I405" s="7" t="str">
        <f>IFERROR(__xludf.DUMMYFUNCTION("regexreplace(lower(C405), ""_"", """")"),"bloodvaluebunbaselinemgperdl")</f>
        <v>bloodvaluebunbaselinemgperdl</v>
      </c>
      <c r="J405" s="9" t="b">
        <f t="shared" si="2"/>
        <v>1</v>
      </c>
      <c r="K405" s="7" t="str">
        <f>IFERROR(__xludf.DUMMYFUNCTION("regexreplace(G405, ""_"", """")"),"bloodvaluebunbaselinemgperdl")</f>
        <v>bloodvaluebunbaselinemgperdl</v>
      </c>
      <c r="L405" s="33"/>
      <c r="M405" s="33" t="s">
        <v>1586</v>
      </c>
    </row>
    <row r="406">
      <c r="A406" s="33"/>
      <c r="B406" s="27" t="s">
        <v>1582</v>
      </c>
      <c r="C406" s="27" t="s">
        <v>1587</v>
      </c>
      <c r="D406" s="27" t="s">
        <v>29</v>
      </c>
      <c r="E406" s="33" t="s">
        <v>1588</v>
      </c>
      <c r="F406" s="31">
        <f t="shared" si="26"/>
        <v>1</v>
      </c>
      <c r="G406" s="27" t="s">
        <v>1589</v>
      </c>
      <c r="H406" s="33"/>
      <c r="I406" s="7" t="str">
        <f>IFERROR(__xludf.DUMMYFUNCTION("regexreplace(lower(C406), ""_"", """")"),"bloodvaluebunbaselinemgperdldate")</f>
        <v>bloodvaluebunbaselinemgperdldate</v>
      </c>
      <c r="J406" s="9" t="b">
        <f t="shared" si="2"/>
        <v>1</v>
      </c>
      <c r="K406" s="7" t="str">
        <f>IFERROR(__xludf.DUMMYFUNCTION("regexreplace(G406, ""_"", """")"),"bloodvaluebunbaselinemgperdldate")</f>
        <v>bloodvaluebunbaselinemgperdldate</v>
      </c>
      <c r="L406" s="33"/>
      <c r="M406" s="33" t="s">
        <v>1590</v>
      </c>
    </row>
    <row r="407">
      <c r="A407" s="33"/>
      <c r="B407" s="27" t="s">
        <v>1582</v>
      </c>
      <c r="C407" s="27" t="s">
        <v>1591</v>
      </c>
      <c r="D407" s="27" t="s">
        <v>154</v>
      </c>
      <c r="E407" s="33" t="s">
        <v>1592</v>
      </c>
      <c r="F407" s="31">
        <f t="shared" si="26"/>
        <v>1</v>
      </c>
      <c r="G407" s="27" t="s">
        <v>1593</v>
      </c>
      <c r="H407" s="33"/>
      <c r="I407" s="7" t="str">
        <f>IFERROR(__xludf.DUMMYFUNCTION("regexreplace(lower(C407), ""_"", """")"),"bloodvaluecreatininebaselinemgperdl")</f>
        <v>bloodvaluecreatininebaselinemgperdl</v>
      </c>
      <c r="J407" s="9" t="b">
        <f t="shared" si="2"/>
        <v>1</v>
      </c>
      <c r="K407" s="7" t="str">
        <f>IFERROR(__xludf.DUMMYFUNCTION("regexreplace(G407, ""_"", """")"),"bloodvaluecreatininebaselinemgperdl")</f>
        <v>bloodvaluecreatininebaselinemgperdl</v>
      </c>
      <c r="L407" s="33"/>
      <c r="M407" s="33" t="s">
        <v>1594</v>
      </c>
    </row>
    <row r="408">
      <c r="A408" s="33"/>
      <c r="B408" s="27" t="s">
        <v>1582</v>
      </c>
      <c r="C408" s="27" t="s">
        <v>1595</v>
      </c>
      <c r="D408" s="27" t="s">
        <v>29</v>
      </c>
      <c r="E408" s="33" t="s">
        <v>1596</v>
      </c>
      <c r="F408" s="31">
        <f t="shared" si="26"/>
        <v>1</v>
      </c>
      <c r="G408" s="27" t="s">
        <v>1597</v>
      </c>
      <c r="H408" s="33"/>
      <c r="I408" s="7" t="str">
        <f>IFERROR(__xludf.DUMMYFUNCTION("regexreplace(lower(C408), ""_"", """")"),"bloodvaluecreatininebaselinemgperdldate")</f>
        <v>bloodvaluecreatininebaselinemgperdldate</v>
      </c>
      <c r="J408" s="9" t="b">
        <f t="shared" si="2"/>
        <v>1</v>
      </c>
      <c r="K408" s="7" t="str">
        <f>IFERROR(__xludf.DUMMYFUNCTION("regexreplace(G408, ""_"", """")"),"bloodvaluecreatininebaselinemgperdldate")</f>
        <v>bloodvaluecreatininebaselinemgperdldate</v>
      </c>
      <c r="L408" s="33"/>
      <c r="M408" s="33" t="s">
        <v>1598</v>
      </c>
    </row>
    <row r="409">
      <c r="A409" s="33"/>
      <c r="B409" s="27" t="s">
        <v>1582</v>
      </c>
      <c r="C409" s="27" t="s">
        <v>1599</v>
      </c>
      <c r="D409" s="27" t="s">
        <v>154</v>
      </c>
      <c r="E409" s="33" t="s">
        <v>1600</v>
      </c>
      <c r="F409" s="31">
        <f t="shared" si="26"/>
        <v>1</v>
      </c>
      <c r="G409" s="27" t="s">
        <v>1601</v>
      </c>
      <c r="H409" s="33"/>
      <c r="I409" s="7" t="str">
        <f>IFERROR(__xludf.DUMMYFUNCTION("regexreplace(lower(C409), ""_"", """")"),"bloodvalueastsgotbaselineuperl")</f>
        <v>bloodvalueastsgotbaselineuperl</v>
      </c>
      <c r="J409" s="9" t="b">
        <f t="shared" si="2"/>
        <v>1</v>
      </c>
      <c r="K409" s="7" t="str">
        <f>IFERROR(__xludf.DUMMYFUNCTION("regexreplace(G409, ""_"", """")"),"bloodvalueastsgotbaselineuperl")</f>
        <v>bloodvalueastsgotbaselineuperl</v>
      </c>
      <c r="L409" s="33"/>
      <c r="M409" s="33" t="s">
        <v>1602</v>
      </c>
    </row>
    <row r="410">
      <c r="A410" s="33"/>
      <c r="B410" s="27" t="s">
        <v>1582</v>
      </c>
      <c r="C410" s="27" t="s">
        <v>1603</v>
      </c>
      <c r="D410" s="27" t="s">
        <v>29</v>
      </c>
      <c r="E410" s="33" t="s">
        <v>1604</v>
      </c>
      <c r="F410" s="31">
        <f t="shared" si="26"/>
        <v>1</v>
      </c>
      <c r="G410" s="27" t="s">
        <v>1605</v>
      </c>
      <c r="H410" s="33"/>
      <c r="I410" s="7" t="str">
        <f>IFERROR(__xludf.DUMMYFUNCTION("regexreplace(lower(C410), ""_"", """")"),"bloodvalueastsgotbaselineuperldate")</f>
        <v>bloodvalueastsgotbaselineuperldate</v>
      </c>
      <c r="J410" s="9" t="b">
        <f t="shared" si="2"/>
        <v>1</v>
      </c>
      <c r="K410" s="7" t="str">
        <f>IFERROR(__xludf.DUMMYFUNCTION("regexreplace(G410, ""_"", """")"),"bloodvalueastsgotbaselineuperldate")</f>
        <v>bloodvalueastsgotbaselineuperldate</v>
      </c>
      <c r="L410" s="33"/>
      <c r="M410" s="33" t="s">
        <v>1606</v>
      </c>
    </row>
    <row r="411">
      <c r="A411" s="33"/>
      <c r="B411" s="27" t="s">
        <v>1582</v>
      </c>
      <c r="C411" s="27" t="s">
        <v>1607</v>
      </c>
      <c r="D411" s="27" t="s">
        <v>154</v>
      </c>
      <c r="E411" s="33" t="s">
        <v>1608</v>
      </c>
      <c r="F411" s="31">
        <f t="shared" si="26"/>
        <v>1</v>
      </c>
      <c r="G411" s="27" t="s">
        <v>1609</v>
      </c>
      <c r="H411" s="33"/>
      <c r="I411" s="7" t="str">
        <f>IFERROR(__xludf.DUMMYFUNCTION("regexreplace(lower(C411), ""_"", """")"),"bloodvaluealtsgptbaselineuperl")</f>
        <v>bloodvaluealtsgptbaselineuperl</v>
      </c>
      <c r="J411" s="9" t="b">
        <f t="shared" si="2"/>
        <v>1</v>
      </c>
      <c r="K411" s="7" t="str">
        <f>IFERROR(__xludf.DUMMYFUNCTION("regexreplace(G411, ""_"", """")"),"bloodvaluealtsgptbaselineuperl")</f>
        <v>bloodvaluealtsgptbaselineuperl</v>
      </c>
      <c r="L411" s="33"/>
      <c r="M411" s="33" t="s">
        <v>1610</v>
      </c>
    </row>
    <row r="412">
      <c r="A412" s="33"/>
      <c r="B412" s="27" t="s">
        <v>1582</v>
      </c>
      <c r="C412" s="27" t="s">
        <v>1611</v>
      </c>
      <c r="D412" s="27" t="s">
        <v>29</v>
      </c>
      <c r="E412" s="33" t="s">
        <v>1612</v>
      </c>
      <c r="F412" s="31">
        <f t="shared" si="26"/>
        <v>1</v>
      </c>
      <c r="G412" s="27" t="s">
        <v>1613</v>
      </c>
      <c r="H412" s="33"/>
      <c r="I412" s="7" t="str">
        <f>IFERROR(__xludf.DUMMYFUNCTION("regexreplace(lower(C412), ""_"", """")"),"bloodvaluealtsgptbaselineuperldate")</f>
        <v>bloodvaluealtsgptbaselineuperldate</v>
      </c>
      <c r="J412" s="9" t="b">
        <f t="shared" si="2"/>
        <v>1</v>
      </c>
      <c r="K412" s="7" t="str">
        <f>IFERROR(__xludf.DUMMYFUNCTION("regexreplace(G412, ""_"", """")"),"bloodvaluealtsgptbaselineuperldate")</f>
        <v>bloodvaluealtsgptbaselineuperldate</v>
      </c>
      <c r="L412" s="33"/>
      <c r="M412" s="33" t="s">
        <v>1614</v>
      </c>
    </row>
    <row r="413">
      <c r="A413" s="33"/>
      <c r="B413" s="27" t="s">
        <v>1582</v>
      </c>
      <c r="C413" s="27" t="s">
        <v>1615</v>
      </c>
      <c r="D413" s="27" t="s">
        <v>154</v>
      </c>
      <c r="E413" s="33" t="s">
        <v>1616</v>
      </c>
      <c r="F413" s="31">
        <f t="shared" si="26"/>
        <v>1</v>
      </c>
      <c r="G413" s="27" t="s">
        <v>1617</v>
      </c>
      <c r="H413" s="33"/>
      <c r="I413" s="7" t="str">
        <f>IFERROR(__xludf.DUMMYFUNCTION("regexreplace(lower(C413), ""_"", """")"),"bloodvaluetotalbilirubinbaselinemgperdl")</f>
        <v>bloodvaluetotalbilirubinbaselinemgperdl</v>
      </c>
      <c r="J413" s="9" t="b">
        <f t="shared" si="2"/>
        <v>1</v>
      </c>
      <c r="K413" s="7" t="str">
        <f>IFERROR(__xludf.DUMMYFUNCTION("regexreplace(G413, ""_"", """")"),"bloodvaluetotalbilirubinbaselinemgperdl")</f>
        <v>bloodvaluetotalbilirubinbaselinemgperdl</v>
      </c>
      <c r="L413" s="33"/>
      <c r="M413" s="33" t="s">
        <v>1618</v>
      </c>
    </row>
    <row r="414">
      <c r="A414" s="33"/>
      <c r="B414" s="27" t="s">
        <v>1582</v>
      </c>
      <c r="C414" s="27" t="s">
        <v>1619</v>
      </c>
      <c r="D414" s="27" t="s">
        <v>29</v>
      </c>
      <c r="E414" s="33" t="s">
        <v>1620</v>
      </c>
      <c r="F414" s="31">
        <f t="shared" si="26"/>
        <v>1</v>
      </c>
      <c r="G414" s="27" t="s">
        <v>1621</v>
      </c>
      <c r="H414" s="33"/>
      <c r="I414" s="7" t="str">
        <f>IFERROR(__xludf.DUMMYFUNCTION("regexreplace(lower(C414), ""_"", """")"),"bloodvaluetotalbilirubinbaselinemgperdldate")</f>
        <v>bloodvaluetotalbilirubinbaselinemgperdldate</v>
      </c>
      <c r="J414" s="9" t="b">
        <f t="shared" si="2"/>
        <v>1</v>
      </c>
      <c r="K414" s="7" t="str">
        <f>IFERROR(__xludf.DUMMYFUNCTION("regexreplace(G414, ""_"", """")"),"bloodvaluetotalbilirubinbaselinemgperdldate")</f>
        <v>bloodvaluetotalbilirubinbaselinemgperdldate</v>
      </c>
      <c r="L414" s="33"/>
      <c r="M414" s="33" t="s">
        <v>1622</v>
      </c>
    </row>
    <row r="415">
      <c r="A415" s="12"/>
      <c r="B415" s="12"/>
      <c r="C415" s="13"/>
      <c r="D415" s="12"/>
      <c r="E415" s="12"/>
      <c r="F415" s="12"/>
      <c r="G415" s="12"/>
      <c r="H415" s="12"/>
      <c r="I415" s="13" t="str">
        <f>IFERROR(__xludf.DUMMYFUNCTION("regexreplace(lower(C415), ""_"", """")"),"")</f>
        <v/>
      </c>
      <c r="J415" s="14" t="str">
        <f t="shared" si="2"/>
        <v/>
      </c>
      <c r="K415" s="13" t="str">
        <f>IFERROR(__xludf.DUMMYFUNCTION("regexreplace(G415, ""_"", """")"),"")</f>
        <v/>
      </c>
      <c r="L415" s="12"/>
      <c r="M415" s="12"/>
    </row>
    <row r="416">
      <c r="A416" s="27" t="s">
        <v>1326</v>
      </c>
      <c r="B416" s="27" t="s">
        <v>1582</v>
      </c>
      <c r="C416" s="27" t="s">
        <v>1623</v>
      </c>
      <c r="D416" s="27" t="s">
        <v>154</v>
      </c>
      <c r="E416" s="33" t="s">
        <v>1624</v>
      </c>
      <c r="F416" s="31">
        <f t="shared" ref="F416:F437" si="27">counta(L416:M416)</f>
        <v>2</v>
      </c>
      <c r="G416" s="27" t="s">
        <v>1625</v>
      </c>
      <c r="H416" s="33"/>
      <c r="I416" s="7" t="str">
        <f>IFERROR(__xludf.DUMMYFUNCTION("regexreplace(lower(C416), ""_"", """")"),"bloodvaluephmin")</f>
        <v>bloodvaluephmin</v>
      </c>
      <c r="J416" s="9" t="b">
        <f t="shared" si="2"/>
        <v>1</v>
      </c>
      <c r="K416" s="7" t="str">
        <f>IFERROR(__xludf.DUMMYFUNCTION("regexreplace(G416, ""_"", """")"),"bloodvaluephmin")</f>
        <v>bloodvaluephmin</v>
      </c>
      <c r="L416" s="33" t="s">
        <v>1626</v>
      </c>
      <c r="M416" s="33" t="s">
        <v>1627</v>
      </c>
    </row>
    <row r="417">
      <c r="A417" s="33"/>
      <c r="B417" s="27" t="s">
        <v>1582</v>
      </c>
      <c r="C417" s="27" t="s">
        <v>1628</v>
      </c>
      <c r="D417" s="27" t="s">
        <v>29</v>
      </c>
      <c r="E417" s="33" t="s">
        <v>1629</v>
      </c>
      <c r="F417" s="31">
        <f t="shared" si="27"/>
        <v>2</v>
      </c>
      <c r="G417" s="27" t="s">
        <v>1630</v>
      </c>
      <c r="H417" s="33"/>
      <c r="I417" s="7" t="str">
        <f>IFERROR(__xludf.DUMMYFUNCTION("regexreplace(lower(C417), ""_"", """")"),"bloodvaluephmindate")</f>
        <v>bloodvaluephmindate</v>
      </c>
      <c r="J417" s="9" t="b">
        <f t="shared" si="2"/>
        <v>1</v>
      </c>
      <c r="K417" s="7" t="str">
        <f>IFERROR(__xludf.DUMMYFUNCTION("regexreplace(G417, ""_"", """")"),"bloodvaluephmindate")</f>
        <v>bloodvaluephmindate</v>
      </c>
      <c r="L417" s="33" t="s">
        <v>1631</v>
      </c>
      <c r="M417" s="33" t="s">
        <v>1632</v>
      </c>
    </row>
    <row r="418">
      <c r="A418" s="33"/>
      <c r="B418" s="27" t="s">
        <v>1582</v>
      </c>
      <c r="C418" s="27" t="s">
        <v>1633</v>
      </c>
      <c r="D418" s="27" t="s">
        <v>154</v>
      </c>
      <c r="E418" s="33" t="s">
        <v>1634</v>
      </c>
      <c r="F418" s="31">
        <f t="shared" si="27"/>
        <v>2</v>
      </c>
      <c r="G418" s="27" t="s">
        <v>1635</v>
      </c>
      <c r="H418" s="33"/>
      <c r="I418" s="7" t="str">
        <f>IFERROR(__xludf.DUMMYFUNCTION("regexreplace(lower(C418), ""_"", """")"),"bloodvaluehco3minmeqperl")</f>
        <v>bloodvaluehco3minmeqperl</v>
      </c>
      <c r="J418" s="9" t="b">
        <f t="shared" si="2"/>
        <v>1</v>
      </c>
      <c r="K418" s="7" t="str">
        <f>IFERROR(__xludf.DUMMYFUNCTION("regexreplace(G418, ""_"", """")"),"bloodvaluehco3minmeqperl")</f>
        <v>bloodvaluehco3minmeqperl</v>
      </c>
      <c r="L418" s="33" t="s">
        <v>1636</v>
      </c>
      <c r="M418" s="33" t="s">
        <v>1637</v>
      </c>
    </row>
    <row r="419">
      <c r="A419" s="33"/>
      <c r="B419" s="27" t="s">
        <v>1582</v>
      </c>
      <c r="C419" s="27" t="s">
        <v>1638</v>
      </c>
      <c r="D419" s="27" t="s">
        <v>29</v>
      </c>
      <c r="E419" s="33" t="s">
        <v>1639</v>
      </c>
      <c r="F419" s="31">
        <f t="shared" si="27"/>
        <v>2</v>
      </c>
      <c r="G419" s="27" t="s">
        <v>1640</v>
      </c>
      <c r="H419" s="33"/>
      <c r="I419" s="7" t="str">
        <f>IFERROR(__xludf.DUMMYFUNCTION("regexreplace(lower(C419), ""_"", """")"),"bloodvaluehco3minmeqperldate")</f>
        <v>bloodvaluehco3minmeqperldate</v>
      </c>
      <c r="J419" s="9" t="b">
        <f t="shared" si="2"/>
        <v>1</v>
      </c>
      <c r="K419" s="7" t="str">
        <f>IFERROR(__xludf.DUMMYFUNCTION("regexreplace(G419, ""_"", """")"),"bloodvaluehco3minmeqperldate")</f>
        <v>bloodvaluehco3minmeqperldate</v>
      </c>
      <c r="L419" s="33" t="s">
        <v>1641</v>
      </c>
      <c r="M419" s="33" t="s">
        <v>1642</v>
      </c>
    </row>
    <row r="420">
      <c r="A420" s="33"/>
      <c r="B420" s="27" t="s">
        <v>1582</v>
      </c>
      <c r="C420" s="27" t="s">
        <v>1643</v>
      </c>
      <c r="D420" s="27" t="s">
        <v>154</v>
      </c>
      <c r="E420" s="33" t="s">
        <v>1644</v>
      </c>
      <c r="F420" s="31">
        <f t="shared" si="27"/>
        <v>2</v>
      </c>
      <c r="G420" s="27" t="s">
        <v>1645</v>
      </c>
      <c r="H420" s="33"/>
      <c r="I420" s="7" t="str">
        <f>IFERROR(__xludf.DUMMYFUNCTION("regexreplace(lower(C420), ""_"", """")"),"bloodvalueserumnaminmeqperl")</f>
        <v>bloodvalueserumnaminmeqperl</v>
      </c>
      <c r="J420" s="9" t="b">
        <f t="shared" si="2"/>
        <v>1</v>
      </c>
      <c r="K420" s="7" t="str">
        <f>IFERROR(__xludf.DUMMYFUNCTION("regexreplace(G420, ""_"", """")"),"bloodvalueserumnaminmeqperl")</f>
        <v>bloodvalueserumnaminmeqperl</v>
      </c>
      <c r="L420" s="33" t="s">
        <v>1646</v>
      </c>
      <c r="M420" s="33" t="s">
        <v>1647</v>
      </c>
    </row>
    <row r="421">
      <c r="A421" s="33"/>
      <c r="B421" s="27" t="s">
        <v>1582</v>
      </c>
      <c r="C421" s="27" t="s">
        <v>1648</v>
      </c>
      <c r="D421" s="27" t="s">
        <v>29</v>
      </c>
      <c r="E421" s="33" t="s">
        <v>1649</v>
      </c>
      <c r="F421" s="31">
        <f t="shared" si="27"/>
        <v>2</v>
      </c>
      <c r="G421" s="27" t="s">
        <v>1650</v>
      </c>
      <c r="H421" s="33"/>
      <c r="I421" s="7" t="str">
        <f>IFERROR(__xludf.DUMMYFUNCTION("regexreplace(lower(C421), ""_"", """")"),"bloodvalueserumnaminmeqperldate")</f>
        <v>bloodvalueserumnaminmeqperldate</v>
      </c>
      <c r="J421" s="9" t="b">
        <f t="shared" si="2"/>
        <v>1</v>
      </c>
      <c r="K421" s="7" t="str">
        <f>IFERROR(__xludf.DUMMYFUNCTION("regexreplace(G421, ""_"", """")"),"bloodvalueserumnaminmeqperldate")</f>
        <v>bloodvalueserumnaminmeqperldate</v>
      </c>
      <c r="L421" s="33" t="s">
        <v>1651</v>
      </c>
      <c r="M421" s="33" t="s">
        <v>1652</v>
      </c>
    </row>
    <row r="422">
      <c r="A422" s="33"/>
      <c r="B422" s="27" t="s">
        <v>1582</v>
      </c>
      <c r="C422" s="27" t="s">
        <v>1653</v>
      </c>
      <c r="D422" s="27" t="s">
        <v>154</v>
      </c>
      <c r="E422" s="33" t="s">
        <v>1654</v>
      </c>
      <c r="F422" s="31">
        <f t="shared" si="27"/>
        <v>2</v>
      </c>
      <c r="G422" s="27" t="s">
        <v>1655</v>
      </c>
      <c r="H422" s="33"/>
      <c r="I422" s="7" t="str">
        <f>IFERROR(__xludf.DUMMYFUNCTION("regexreplace(lower(C422), ""_"", """")"),"bloodvalueserumkminmeqperl")</f>
        <v>bloodvalueserumkminmeqperl</v>
      </c>
      <c r="J422" s="9" t="b">
        <f t="shared" si="2"/>
        <v>1</v>
      </c>
      <c r="K422" s="7" t="str">
        <f>IFERROR(__xludf.DUMMYFUNCTION("regexreplace(G422, ""_"", """")"),"bloodvalueserumkminmeqperl")</f>
        <v>bloodvalueserumkminmeqperl</v>
      </c>
      <c r="L422" s="33" t="s">
        <v>1656</v>
      </c>
      <c r="M422" s="33" t="s">
        <v>1657</v>
      </c>
    </row>
    <row r="423">
      <c r="A423" s="33"/>
      <c r="B423" s="27" t="s">
        <v>1582</v>
      </c>
      <c r="C423" s="27" t="s">
        <v>1658</v>
      </c>
      <c r="D423" s="27" t="s">
        <v>29</v>
      </c>
      <c r="E423" s="33" t="s">
        <v>1659</v>
      </c>
      <c r="F423" s="31">
        <f t="shared" si="27"/>
        <v>2</v>
      </c>
      <c r="G423" s="27" t="s">
        <v>1660</v>
      </c>
      <c r="H423" s="33"/>
      <c r="I423" s="7" t="str">
        <f>IFERROR(__xludf.DUMMYFUNCTION("regexreplace(lower(C423), ""_"", """")"),"bloodvalueserumkminmeqperldate")</f>
        <v>bloodvalueserumkminmeqperldate</v>
      </c>
      <c r="J423" s="9" t="b">
        <f t="shared" si="2"/>
        <v>1</v>
      </c>
      <c r="K423" s="7" t="str">
        <f>IFERROR(__xludf.DUMMYFUNCTION("regexreplace(G423, ""_"", """")"),"bloodvalueserumkminmeqperldate")</f>
        <v>bloodvalueserumkminmeqperldate</v>
      </c>
      <c r="L423" s="33" t="s">
        <v>1661</v>
      </c>
      <c r="M423" s="33" t="s">
        <v>1662</v>
      </c>
    </row>
    <row r="424">
      <c r="A424" s="33"/>
      <c r="B424" s="27" t="s">
        <v>1582</v>
      </c>
      <c r="C424" s="27" t="s">
        <v>1663</v>
      </c>
      <c r="D424" s="27" t="s">
        <v>154</v>
      </c>
      <c r="E424" s="33" t="s">
        <v>1664</v>
      </c>
      <c r="F424" s="31">
        <f t="shared" si="27"/>
        <v>2</v>
      </c>
      <c r="G424" s="27" t="s">
        <v>1665</v>
      </c>
      <c r="H424" s="33"/>
      <c r="I424" s="7" t="str">
        <f>IFERROR(__xludf.DUMMYFUNCTION("regexreplace(lower(C424), ""_"", """")"),"bloodvalueclminmeqperl")</f>
        <v>bloodvalueclminmeqperl</v>
      </c>
      <c r="J424" s="9" t="b">
        <f t="shared" si="2"/>
        <v>1</v>
      </c>
      <c r="K424" s="7" t="str">
        <f>IFERROR(__xludf.DUMMYFUNCTION("regexreplace(G424, ""_"", """")"),"bloodvalueclminmeqperl")</f>
        <v>bloodvalueclminmeqperl</v>
      </c>
      <c r="L424" s="33" t="s">
        <v>1666</v>
      </c>
      <c r="M424" s="33" t="s">
        <v>1667</v>
      </c>
    </row>
    <row r="425">
      <c r="A425" s="33"/>
      <c r="B425" s="27" t="s">
        <v>1582</v>
      </c>
      <c r="C425" s="27" t="s">
        <v>1668</v>
      </c>
      <c r="D425" s="27" t="s">
        <v>29</v>
      </c>
      <c r="E425" s="33" t="s">
        <v>1669</v>
      </c>
      <c r="F425" s="31">
        <f t="shared" si="27"/>
        <v>2</v>
      </c>
      <c r="G425" s="27" t="s">
        <v>1670</v>
      </c>
      <c r="H425" s="33"/>
      <c r="I425" s="7" t="str">
        <f>IFERROR(__xludf.DUMMYFUNCTION("regexreplace(lower(C425), ""_"", """")"),"bloodvalueclminmeqperldate")</f>
        <v>bloodvalueclminmeqperldate</v>
      </c>
      <c r="J425" s="9" t="b">
        <f t="shared" si="2"/>
        <v>1</v>
      </c>
      <c r="K425" s="7" t="str">
        <f>IFERROR(__xludf.DUMMYFUNCTION("regexreplace(G425, ""_"", """")"),"bloodvalueclminmeqperldate")</f>
        <v>bloodvalueclminmeqperldate</v>
      </c>
      <c r="L425" s="33" t="s">
        <v>1671</v>
      </c>
      <c r="M425" s="33" t="s">
        <v>1672</v>
      </c>
    </row>
    <row r="426">
      <c r="A426" s="33"/>
      <c r="B426" s="27" t="s">
        <v>1582</v>
      </c>
      <c r="C426" s="27" t="s">
        <v>1673</v>
      </c>
      <c r="D426" s="27" t="s">
        <v>154</v>
      </c>
      <c r="E426" s="33" t="s">
        <v>1674</v>
      </c>
      <c r="F426" s="31">
        <f t="shared" si="27"/>
        <v>2</v>
      </c>
      <c r="G426" s="27" t="s">
        <v>1675</v>
      </c>
      <c r="H426" s="33"/>
      <c r="I426" s="7" t="str">
        <f>IFERROR(__xludf.DUMMYFUNCTION("regexreplace(lower(C426), ""_"", """")"),"bloodvalueglucoseminmgperdl")</f>
        <v>bloodvalueglucoseminmgperdl</v>
      </c>
      <c r="J426" s="9" t="b">
        <f t="shared" si="2"/>
        <v>1</v>
      </c>
      <c r="K426" s="7" t="str">
        <f>IFERROR(__xludf.DUMMYFUNCTION("regexreplace(G426, ""_"", """")"),"bloodvalueglucoseminmgperdl")</f>
        <v>bloodvalueglucoseminmgperdl</v>
      </c>
      <c r="L426" s="33" t="s">
        <v>1676</v>
      </c>
      <c r="M426" s="33" t="s">
        <v>1677</v>
      </c>
    </row>
    <row r="427">
      <c r="A427" s="33"/>
      <c r="B427" s="27" t="s">
        <v>1582</v>
      </c>
      <c r="C427" s="27" t="s">
        <v>1678</v>
      </c>
      <c r="D427" s="27" t="s">
        <v>29</v>
      </c>
      <c r="E427" s="33" t="s">
        <v>1679</v>
      </c>
      <c r="F427" s="31">
        <f t="shared" si="27"/>
        <v>2</v>
      </c>
      <c r="G427" s="27" t="s">
        <v>1680</v>
      </c>
      <c r="H427" s="33"/>
      <c r="I427" s="7" t="str">
        <f>IFERROR(__xludf.DUMMYFUNCTION("regexreplace(lower(C427), ""_"", """")"),"bloodvalueglucoseminmgperdldate")</f>
        <v>bloodvalueglucoseminmgperdldate</v>
      </c>
      <c r="J427" s="9" t="b">
        <f t="shared" si="2"/>
        <v>1</v>
      </c>
      <c r="K427" s="7" t="str">
        <f>IFERROR(__xludf.DUMMYFUNCTION("regexreplace(G427, ""_"", """")"),"bloodvalueglucoseminmgperdldate")</f>
        <v>bloodvalueglucoseminmgperdldate</v>
      </c>
      <c r="L427" s="33" t="s">
        <v>1681</v>
      </c>
      <c r="M427" s="33" t="s">
        <v>1682</v>
      </c>
    </row>
    <row r="428">
      <c r="A428" s="33"/>
      <c r="B428" s="27" t="s">
        <v>1582</v>
      </c>
      <c r="C428" s="27" t="s">
        <v>1683</v>
      </c>
      <c r="D428" s="27" t="s">
        <v>154</v>
      </c>
      <c r="E428" s="33" t="s">
        <v>1684</v>
      </c>
      <c r="F428" s="31">
        <f t="shared" si="27"/>
        <v>2</v>
      </c>
      <c r="G428" s="27" t="s">
        <v>1685</v>
      </c>
      <c r="H428" s="33"/>
      <c r="I428" s="7" t="str">
        <f>IFERROR(__xludf.DUMMYFUNCTION("regexreplace(lower(C428), ""_"", """")"),"bloodvaluetotalcaminmgperdl")</f>
        <v>bloodvaluetotalcaminmgperdl</v>
      </c>
      <c r="J428" s="9" t="b">
        <f t="shared" si="2"/>
        <v>1</v>
      </c>
      <c r="K428" s="7" t="str">
        <f>IFERROR(__xludf.DUMMYFUNCTION("regexreplace(G428, ""_"", """")"),"bloodvaluetotalcaminmgperdl")</f>
        <v>bloodvaluetotalcaminmgperdl</v>
      </c>
      <c r="L428" s="33" t="s">
        <v>1686</v>
      </c>
      <c r="M428" s="33" t="s">
        <v>1687</v>
      </c>
    </row>
    <row r="429">
      <c r="A429" s="33"/>
      <c r="B429" s="27" t="s">
        <v>1582</v>
      </c>
      <c r="C429" s="27" t="s">
        <v>1688</v>
      </c>
      <c r="D429" s="27" t="s">
        <v>29</v>
      </c>
      <c r="E429" s="33" t="s">
        <v>1689</v>
      </c>
      <c r="F429" s="31">
        <f t="shared" si="27"/>
        <v>2</v>
      </c>
      <c r="G429" s="27" t="s">
        <v>1690</v>
      </c>
      <c r="H429" s="33"/>
      <c r="I429" s="7" t="str">
        <f>IFERROR(__xludf.DUMMYFUNCTION("regexreplace(lower(C429), ""_"", """")"),"bloodvaluetotalcaminmgperdldate")</f>
        <v>bloodvaluetotalcaminmgperdldate</v>
      </c>
      <c r="J429" s="9" t="b">
        <f t="shared" si="2"/>
        <v>1</v>
      </c>
      <c r="K429" s="7" t="str">
        <f>IFERROR(__xludf.DUMMYFUNCTION("regexreplace(G429, ""_"", """")"),"bloodvaluetotalcaminmgperdldate")</f>
        <v>bloodvaluetotalcaminmgperdldate</v>
      </c>
      <c r="L429" s="33" t="s">
        <v>1691</v>
      </c>
      <c r="M429" s="33" t="s">
        <v>1692</v>
      </c>
    </row>
    <row r="430">
      <c r="A430" s="33"/>
      <c r="B430" s="27" t="s">
        <v>1582</v>
      </c>
      <c r="C430" s="27" t="s">
        <v>1693</v>
      </c>
      <c r="D430" s="27" t="s">
        <v>154</v>
      </c>
      <c r="E430" s="33" t="s">
        <v>1694</v>
      </c>
      <c r="F430" s="31">
        <f t="shared" si="27"/>
        <v>2</v>
      </c>
      <c r="G430" s="27" t="s">
        <v>1695</v>
      </c>
      <c r="H430" s="33"/>
      <c r="I430" s="7" t="str">
        <f>IFERROR(__xludf.DUMMYFUNCTION("regexreplace(lower(C430), ""_"", """")"),"bloodvalueioncaminmgperdl")</f>
        <v>bloodvalueioncaminmgperdl</v>
      </c>
      <c r="J430" s="9" t="b">
        <f t="shared" si="2"/>
        <v>1</v>
      </c>
      <c r="K430" s="7" t="str">
        <f>IFERROR(__xludf.DUMMYFUNCTION("regexreplace(G430, ""_"", """")"),"bloodvalueioncaminmgperdl")</f>
        <v>bloodvalueioncaminmgperdl</v>
      </c>
      <c r="L430" s="33" t="s">
        <v>1696</v>
      </c>
      <c r="M430" s="33" t="s">
        <v>1697</v>
      </c>
    </row>
    <row r="431">
      <c r="A431" s="33"/>
      <c r="B431" s="27" t="s">
        <v>1582</v>
      </c>
      <c r="C431" s="27" t="s">
        <v>1698</v>
      </c>
      <c r="D431" s="27" t="s">
        <v>29</v>
      </c>
      <c r="E431" s="33" t="s">
        <v>1699</v>
      </c>
      <c r="F431" s="31">
        <f t="shared" si="27"/>
        <v>2</v>
      </c>
      <c r="G431" s="27" t="s">
        <v>1700</v>
      </c>
      <c r="H431" s="33"/>
      <c r="I431" s="7" t="str">
        <f>IFERROR(__xludf.DUMMYFUNCTION("regexreplace(lower(C431), ""_"", """")"),"bloodvalueioncaminmgperdldate")</f>
        <v>bloodvalueioncaminmgperdldate</v>
      </c>
      <c r="J431" s="9" t="b">
        <f t="shared" si="2"/>
        <v>1</v>
      </c>
      <c r="K431" s="7" t="str">
        <f>IFERROR(__xludf.DUMMYFUNCTION("regexreplace(G431, ""_"", """")"),"bloodvalueioncaminmgperdldate")</f>
        <v>bloodvalueioncaminmgperdldate</v>
      </c>
      <c r="L431" s="33" t="s">
        <v>1701</v>
      </c>
      <c r="M431" s="33" t="s">
        <v>1702</v>
      </c>
    </row>
    <row r="432">
      <c r="A432" s="33"/>
      <c r="B432" s="27" t="s">
        <v>1582</v>
      </c>
      <c r="C432" s="27" t="s">
        <v>1703</v>
      </c>
      <c r="D432" s="27" t="s">
        <v>154</v>
      </c>
      <c r="E432" s="33" t="s">
        <v>1704</v>
      </c>
      <c r="F432" s="31">
        <f t="shared" si="27"/>
        <v>1</v>
      </c>
      <c r="G432" s="27" t="s">
        <v>1705</v>
      </c>
      <c r="H432" s="33"/>
      <c r="I432" s="7" t="str">
        <f>IFERROR(__xludf.DUMMYFUNCTION("regexreplace(lower(C432), ""_"", """")"),"bloodvalueastsgotminuperl")</f>
        <v>bloodvalueastsgotminuperl</v>
      </c>
      <c r="J432" s="9" t="b">
        <f t="shared" si="2"/>
        <v>1</v>
      </c>
      <c r="K432" s="7" t="str">
        <f>IFERROR(__xludf.DUMMYFUNCTION("regexreplace(G432, ""_"", """")"),"bloodvalueastsgotminuperl")</f>
        <v>bloodvalueastsgotminuperl</v>
      </c>
      <c r="L432" s="33"/>
      <c r="M432" s="33" t="s">
        <v>1706</v>
      </c>
    </row>
    <row r="433">
      <c r="A433" s="33"/>
      <c r="B433" s="27" t="s">
        <v>1582</v>
      </c>
      <c r="C433" s="27" t="s">
        <v>1707</v>
      </c>
      <c r="D433" s="27" t="s">
        <v>29</v>
      </c>
      <c r="E433" s="33" t="s">
        <v>1708</v>
      </c>
      <c r="F433" s="31">
        <f t="shared" si="27"/>
        <v>1</v>
      </c>
      <c r="G433" s="27" t="s">
        <v>1709</v>
      </c>
      <c r="H433" s="33"/>
      <c r="I433" s="7" t="str">
        <f>IFERROR(__xludf.DUMMYFUNCTION("regexreplace(lower(C433), ""_"", """")"),"bloodvalueastsgotminuperldate")</f>
        <v>bloodvalueastsgotminuperldate</v>
      </c>
      <c r="J433" s="9" t="b">
        <f t="shared" si="2"/>
        <v>1</v>
      </c>
      <c r="K433" s="7" t="str">
        <f>IFERROR(__xludf.DUMMYFUNCTION("regexreplace(G433, ""_"", """")"),"bloodvalueastsgotminuperldate")</f>
        <v>bloodvalueastsgotminuperldate</v>
      </c>
      <c r="L433" s="33"/>
      <c r="M433" s="33" t="s">
        <v>1710</v>
      </c>
    </row>
    <row r="434">
      <c r="A434" s="33"/>
      <c r="B434" s="27" t="s">
        <v>1582</v>
      </c>
      <c r="C434" s="27" t="s">
        <v>1711</v>
      </c>
      <c r="D434" s="27" t="s">
        <v>154</v>
      </c>
      <c r="E434" s="33" t="s">
        <v>1712</v>
      </c>
      <c r="F434" s="31">
        <f t="shared" si="27"/>
        <v>1</v>
      </c>
      <c r="G434" s="27" t="s">
        <v>1713</v>
      </c>
      <c r="H434" s="33"/>
      <c r="I434" s="7" t="str">
        <f>IFERROR(__xludf.DUMMYFUNCTION("regexreplace(lower(C434), ""_"", """")"),"bloodvaluealtsgptminuperl")</f>
        <v>bloodvaluealtsgptminuperl</v>
      </c>
      <c r="J434" s="9" t="b">
        <f t="shared" si="2"/>
        <v>1</v>
      </c>
      <c r="K434" s="7" t="str">
        <f>IFERROR(__xludf.DUMMYFUNCTION("regexreplace(G434, ""_"", """")"),"bloodvaluealtsgptminuperl")</f>
        <v>bloodvaluealtsgptminuperl</v>
      </c>
      <c r="L434" s="33"/>
      <c r="M434" s="33" t="s">
        <v>1714</v>
      </c>
    </row>
    <row r="435">
      <c r="A435" s="33"/>
      <c r="B435" s="27" t="s">
        <v>1582</v>
      </c>
      <c r="C435" s="27" t="s">
        <v>1715</v>
      </c>
      <c r="D435" s="27" t="s">
        <v>29</v>
      </c>
      <c r="E435" s="33" t="s">
        <v>1716</v>
      </c>
      <c r="F435" s="31">
        <f t="shared" si="27"/>
        <v>1</v>
      </c>
      <c r="G435" s="27" t="s">
        <v>1717</v>
      </c>
      <c r="H435" s="33"/>
      <c r="I435" s="7" t="str">
        <f>IFERROR(__xludf.DUMMYFUNCTION("regexreplace(lower(C435), ""_"", """")"),"bloodvaluealtsgptminuperldate")</f>
        <v>bloodvaluealtsgptminuperldate</v>
      </c>
      <c r="J435" s="9" t="b">
        <f t="shared" si="2"/>
        <v>1</v>
      </c>
      <c r="K435" s="7" t="str">
        <f>IFERROR(__xludf.DUMMYFUNCTION("regexreplace(G435, ""_"", """")"),"bloodvaluealtsgptminuperldate")</f>
        <v>bloodvaluealtsgptminuperldate</v>
      </c>
      <c r="L435" s="33"/>
      <c r="M435" s="33" t="s">
        <v>1718</v>
      </c>
    </row>
    <row r="436">
      <c r="A436" s="33"/>
      <c r="B436" s="27" t="s">
        <v>1582</v>
      </c>
      <c r="C436" s="27" t="s">
        <v>1719</v>
      </c>
      <c r="D436" s="27" t="s">
        <v>154</v>
      </c>
      <c r="E436" s="33" t="s">
        <v>1720</v>
      </c>
      <c r="F436" s="31">
        <f t="shared" si="27"/>
        <v>1</v>
      </c>
      <c r="G436" s="27" t="s">
        <v>1721</v>
      </c>
      <c r="H436" s="33"/>
      <c r="I436" s="7" t="str">
        <f>IFERROR(__xludf.DUMMYFUNCTION("regexreplace(lower(C436), ""_"", """")"),"bloodvaluetotalbilirubinminmgperdl")</f>
        <v>bloodvaluetotalbilirubinminmgperdl</v>
      </c>
      <c r="J436" s="9" t="b">
        <f t="shared" si="2"/>
        <v>1</v>
      </c>
      <c r="K436" s="7" t="str">
        <f>IFERROR(__xludf.DUMMYFUNCTION("regexreplace(G436, ""_"", """")"),"bloodvaluetotalbilirubinminmgperdl")</f>
        <v>bloodvaluetotalbilirubinminmgperdl</v>
      </c>
      <c r="L436" s="33"/>
      <c r="M436" s="33" t="s">
        <v>1722</v>
      </c>
    </row>
    <row r="437">
      <c r="A437" s="33"/>
      <c r="B437" s="27" t="s">
        <v>1582</v>
      </c>
      <c r="C437" s="27" t="s">
        <v>1723</v>
      </c>
      <c r="D437" s="27" t="s">
        <v>29</v>
      </c>
      <c r="E437" s="33" t="s">
        <v>1724</v>
      </c>
      <c r="F437" s="31">
        <f t="shared" si="27"/>
        <v>1</v>
      </c>
      <c r="G437" s="27" t="s">
        <v>1725</v>
      </c>
      <c r="H437" s="33"/>
      <c r="I437" s="7" t="str">
        <f>IFERROR(__xludf.DUMMYFUNCTION("regexreplace(lower(C437), ""_"", """")"),"bloodvaluetotalbilirubinminmgperdldate")</f>
        <v>bloodvaluetotalbilirubinminmgperdldate</v>
      </c>
      <c r="J437" s="9" t="b">
        <f t="shared" si="2"/>
        <v>1</v>
      </c>
      <c r="K437" s="7" t="str">
        <f>IFERROR(__xludf.DUMMYFUNCTION("regexreplace(G437, ""_"", """")"),"bloodvaluetotalbilirubinminmgperdldate")</f>
        <v>bloodvaluetotalbilirubinminmgperdldate</v>
      </c>
      <c r="L437" s="33"/>
      <c r="M437" s="33" t="s">
        <v>1726</v>
      </c>
    </row>
    <row r="438">
      <c r="A438" s="12"/>
      <c r="B438" s="12"/>
      <c r="C438" s="13"/>
      <c r="D438" s="12"/>
      <c r="E438" s="12"/>
      <c r="F438" s="12"/>
      <c r="G438" s="12"/>
      <c r="H438" s="12"/>
      <c r="I438" s="13" t="str">
        <f>IFERROR(__xludf.DUMMYFUNCTION("regexreplace(lower(C438), ""_"", """")"),"")</f>
        <v/>
      </c>
      <c r="J438" s="14" t="str">
        <f t="shared" si="2"/>
        <v/>
      </c>
      <c r="K438" s="13" t="str">
        <f>IFERROR(__xludf.DUMMYFUNCTION("regexreplace(G438, ""_"", """")"),"")</f>
        <v/>
      </c>
      <c r="L438" s="12"/>
      <c r="M438" s="12"/>
    </row>
    <row r="439">
      <c r="A439" s="27" t="s">
        <v>1326</v>
      </c>
      <c r="B439" s="27" t="s">
        <v>1582</v>
      </c>
      <c r="C439" s="27" t="s">
        <v>1727</v>
      </c>
      <c r="D439" s="27" t="s">
        <v>154</v>
      </c>
      <c r="E439" s="33" t="s">
        <v>1728</v>
      </c>
      <c r="F439" s="31">
        <f t="shared" ref="F439:F464" si="28">counta(L439:M439)</f>
        <v>2</v>
      </c>
      <c r="G439" s="27" t="s">
        <v>1729</v>
      </c>
      <c r="H439" s="33"/>
      <c r="I439" s="7" t="str">
        <f>IFERROR(__xludf.DUMMYFUNCTION("regexreplace(lower(C439), ""_"", """")"),"bloodvaluephmax")</f>
        <v>bloodvaluephmax</v>
      </c>
      <c r="J439" s="9" t="b">
        <f t="shared" si="2"/>
        <v>1</v>
      </c>
      <c r="K439" s="7" t="str">
        <f>IFERROR(__xludf.DUMMYFUNCTION("regexreplace(G439, ""_"", """")"),"bloodvaluephmax")</f>
        <v>bloodvaluephmax</v>
      </c>
      <c r="L439" s="33" t="s">
        <v>1730</v>
      </c>
      <c r="M439" s="33" t="s">
        <v>1731</v>
      </c>
    </row>
    <row r="440">
      <c r="A440" s="33"/>
      <c r="B440" s="27" t="s">
        <v>1582</v>
      </c>
      <c r="C440" s="27" t="s">
        <v>1732</v>
      </c>
      <c r="D440" s="27" t="s">
        <v>29</v>
      </c>
      <c r="E440" s="33" t="s">
        <v>1733</v>
      </c>
      <c r="F440" s="31">
        <f t="shared" si="28"/>
        <v>2</v>
      </c>
      <c r="G440" s="27" t="s">
        <v>1734</v>
      </c>
      <c r="H440" s="33"/>
      <c r="I440" s="7" t="str">
        <f>IFERROR(__xludf.DUMMYFUNCTION("regexreplace(lower(C440), ""_"", """")"),"bloodvaluephmaxdate")</f>
        <v>bloodvaluephmaxdate</v>
      </c>
      <c r="J440" s="9" t="b">
        <f t="shared" si="2"/>
        <v>1</v>
      </c>
      <c r="K440" s="7" t="str">
        <f>IFERROR(__xludf.DUMMYFUNCTION("regexreplace(G440, ""_"", """")"),"bloodvaluephmaxdate")</f>
        <v>bloodvaluephmaxdate</v>
      </c>
      <c r="L440" s="33" t="s">
        <v>1735</v>
      </c>
      <c r="M440" s="33" t="s">
        <v>1736</v>
      </c>
    </row>
    <row r="441">
      <c r="A441" s="33"/>
      <c r="B441" s="27" t="s">
        <v>1582</v>
      </c>
      <c r="C441" s="27" t="s">
        <v>1737</v>
      </c>
      <c r="D441" s="27" t="s">
        <v>154</v>
      </c>
      <c r="E441" s="33" t="s">
        <v>1738</v>
      </c>
      <c r="F441" s="31">
        <f t="shared" si="28"/>
        <v>2</v>
      </c>
      <c r="G441" s="27" t="s">
        <v>1739</v>
      </c>
      <c r="H441" s="33"/>
      <c r="I441" s="7" t="str">
        <f>IFERROR(__xludf.DUMMYFUNCTION("regexreplace(lower(C441), ""_"", """")"),"bloodvaluebasedeficitmaxmeqperl")</f>
        <v>bloodvaluebasedeficitmaxmeqperl</v>
      </c>
      <c r="J441" s="9" t="b">
        <f t="shared" si="2"/>
        <v>1</v>
      </c>
      <c r="K441" s="7" t="str">
        <f>IFERROR(__xludf.DUMMYFUNCTION("regexreplace(G441, ""_"", """")"),"bloodvaluebasedeficitmaxmeqperl")</f>
        <v>bloodvaluebasedeficitmaxmeqperl</v>
      </c>
      <c r="L441" s="33" t="s">
        <v>1740</v>
      </c>
      <c r="M441" s="33" t="s">
        <v>1741</v>
      </c>
    </row>
    <row r="442">
      <c r="A442" s="33"/>
      <c r="B442" s="27" t="s">
        <v>1582</v>
      </c>
      <c r="C442" s="27" t="s">
        <v>1742</v>
      </c>
      <c r="D442" s="27" t="s">
        <v>29</v>
      </c>
      <c r="E442" s="33" t="s">
        <v>1743</v>
      </c>
      <c r="F442" s="31">
        <f t="shared" si="28"/>
        <v>2</v>
      </c>
      <c r="G442" s="27" t="s">
        <v>1744</v>
      </c>
      <c r="H442" s="33"/>
      <c r="I442" s="7" t="str">
        <f>IFERROR(__xludf.DUMMYFUNCTION("regexreplace(lower(C442), ""_"", """")"),"bloodvaluebasedeficitmaxmeqperldate")</f>
        <v>bloodvaluebasedeficitmaxmeqperldate</v>
      </c>
      <c r="J442" s="9" t="b">
        <f t="shared" si="2"/>
        <v>1</v>
      </c>
      <c r="K442" s="7" t="str">
        <f>IFERROR(__xludf.DUMMYFUNCTION("regexreplace(G442, ""_"", """")"),"bloodvaluebasedeficitmaxmeqperldate")</f>
        <v>bloodvaluebasedeficitmaxmeqperldate</v>
      </c>
      <c r="L442" s="33" t="s">
        <v>1745</v>
      </c>
      <c r="M442" s="33" t="s">
        <v>1746</v>
      </c>
    </row>
    <row r="443">
      <c r="A443" s="33"/>
      <c r="B443" s="27" t="s">
        <v>1582</v>
      </c>
      <c r="C443" s="27" t="s">
        <v>1747</v>
      </c>
      <c r="D443" s="27" t="s">
        <v>154</v>
      </c>
      <c r="E443" s="33" t="s">
        <v>1748</v>
      </c>
      <c r="F443" s="31">
        <f t="shared" si="28"/>
        <v>2</v>
      </c>
      <c r="G443" s="27" t="s">
        <v>1749</v>
      </c>
      <c r="H443" s="33"/>
      <c r="I443" s="7" t="str">
        <f>IFERROR(__xludf.DUMMYFUNCTION("regexreplace(lower(C443), ""_"", """")"),"bloodvalueserumnamaxmeqperl")</f>
        <v>bloodvalueserumnamaxmeqperl</v>
      </c>
      <c r="J443" s="9" t="b">
        <f t="shared" si="2"/>
        <v>1</v>
      </c>
      <c r="K443" s="7" t="str">
        <f>IFERROR(__xludf.DUMMYFUNCTION("regexreplace(G443, ""_"", """")"),"bloodvalueserumnamaxmeqperl")</f>
        <v>bloodvalueserumnamaxmeqperl</v>
      </c>
      <c r="L443" s="33" t="s">
        <v>1750</v>
      </c>
      <c r="M443" s="33" t="s">
        <v>1751</v>
      </c>
    </row>
    <row r="444">
      <c r="A444" s="33"/>
      <c r="B444" s="27" t="s">
        <v>1582</v>
      </c>
      <c r="C444" s="27" t="s">
        <v>1752</v>
      </c>
      <c r="D444" s="27" t="s">
        <v>29</v>
      </c>
      <c r="E444" s="33" t="s">
        <v>1753</v>
      </c>
      <c r="F444" s="31">
        <f t="shared" si="28"/>
        <v>2</v>
      </c>
      <c r="G444" s="27" t="s">
        <v>1754</v>
      </c>
      <c r="H444" s="33"/>
      <c r="I444" s="7" t="str">
        <f>IFERROR(__xludf.DUMMYFUNCTION("regexreplace(lower(C444), ""_"", """")"),"bloodvalueserumnamaxmeqperldate")</f>
        <v>bloodvalueserumnamaxmeqperldate</v>
      </c>
      <c r="J444" s="9" t="b">
        <f t="shared" si="2"/>
        <v>1</v>
      </c>
      <c r="K444" s="7" t="str">
        <f>IFERROR(__xludf.DUMMYFUNCTION("regexreplace(G444, ""_"", """")"),"bloodvalueserumnamaxmeqperldate")</f>
        <v>bloodvalueserumnamaxmeqperldate</v>
      </c>
      <c r="L444" s="33" t="s">
        <v>1755</v>
      </c>
      <c r="M444" s="33" t="s">
        <v>1756</v>
      </c>
    </row>
    <row r="445">
      <c r="A445" s="33"/>
      <c r="B445" s="27" t="s">
        <v>1582</v>
      </c>
      <c r="C445" s="27" t="s">
        <v>1757</v>
      </c>
      <c r="D445" s="27" t="s">
        <v>154</v>
      </c>
      <c r="E445" s="33" t="s">
        <v>1758</v>
      </c>
      <c r="F445" s="31">
        <f t="shared" si="28"/>
        <v>2</v>
      </c>
      <c r="G445" s="27" t="s">
        <v>1759</v>
      </c>
      <c r="H445" s="33"/>
      <c r="I445" s="7" t="str">
        <f>IFERROR(__xludf.DUMMYFUNCTION("regexreplace(lower(C445), ""_"", """")"),"bloodvalueserumkmaxmeqperl")</f>
        <v>bloodvalueserumkmaxmeqperl</v>
      </c>
      <c r="J445" s="9" t="b">
        <f t="shared" si="2"/>
        <v>1</v>
      </c>
      <c r="K445" s="7" t="str">
        <f>IFERROR(__xludf.DUMMYFUNCTION("regexreplace(G445, ""_"", """")"),"bloodvalueserumkmaxmeqperl")</f>
        <v>bloodvalueserumkmaxmeqperl</v>
      </c>
      <c r="L445" s="33" t="s">
        <v>1760</v>
      </c>
      <c r="M445" s="33" t="s">
        <v>1761</v>
      </c>
    </row>
    <row r="446">
      <c r="A446" s="33"/>
      <c r="B446" s="27" t="s">
        <v>1582</v>
      </c>
      <c r="C446" s="27" t="s">
        <v>1762</v>
      </c>
      <c r="D446" s="27" t="s">
        <v>29</v>
      </c>
      <c r="E446" s="33" t="s">
        <v>1763</v>
      </c>
      <c r="F446" s="31">
        <f t="shared" si="28"/>
        <v>2</v>
      </c>
      <c r="G446" s="27" t="s">
        <v>1764</v>
      </c>
      <c r="H446" s="33"/>
      <c r="I446" s="7" t="str">
        <f>IFERROR(__xludf.DUMMYFUNCTION("regexreplace(lower(C446), ""_"", """")"),"bloodvalueserumkmaxmeqperldate")</f>
        <v>bloodvalueserumkmaxmeqperldate</v>
      </c>
      <c r="J446" s="9" t="b">
        <f t="shared" si="2"/>
        <v>1</v>
      </c>
      <c r="K446" s="7" t="str">
        <f>IFERROR(__xludf.DUMMYFUNCTION("regexreplace(G446, ""_"", """")"),"bloodvalueserumkmaxmeqperldate")</f>
        <v>bloodvalueserumkmaxmeqperldate</v>
      </c>
      <c r="L446" s="33" t="s">
        <v>1765</v>
      </c>
      <c r="M446" s="33" t="s">
        <v>1766</v>
      </c>
    </row>
    <row r="447">
      <c r="A447" s="33"/>
      <c r="B447" s="27" t="s">
        <v>1582</v>
      </c>
      <c r="C447" s="27" t="s">
        <v>1767</v>
      </c>
      <c r="D447" s="27" t="s">
        <v>154</v>
      </c>
      <c r="E447" s="33" t="s">
        <v>1768</v>
      </c>
      <c r="F447" s="31">
        <f t="shared" si="28"/>
        <v>2</v>
      </c>
      <c r="G447" s="27" t="s">
        <v>1769</v>
      </c>
      <c r="H447" s="33"/>
      <c r="I447" s="7" t="str">
        <f>IFERROR(__xludf.DUMMYFUNCTION("regexreplace(lower(C447), ""_"", """")"),"bloodvalueclmaxmeqperl")</f>
        <v>bloodvalueclmaxmeqperl</v>
      </c>
      <c r="J447" s="9" t="b">
        <f t="shared" si="2"/>
        <v>1</v>
      </c>
      <c r="K447" s="7" t="str">
        <f>IFERROR(__xludf.DUMMYFUNCTION("regexreplace(G447, ""_"", """")"),"bloodvalueclmaxmeqperl")</f>
        <v>bloodvalueclmaxmeqperl</v>
      </c>
      <c r="L447" s="33" t="s">
        <v>1770</v>
      </c>
      <c r="M447" s="33" t="s">
        <v>1771</v>
      </c>
    </row>
    <row r="448">
      <c r="A448" s="33"/>
      <c r="B448" s="27" t="s">
        <v>1582</v>
      </c>
      <c r="C448" s="27" t="s">
        <v>1772</v>
      </c>
      <c r="D448" s="27" t="s">
        <v>29</v>
      </c>
      <c r="E448" s="33" t="s">
        <v>1773</v>
      </c>
      <c r="F448" s="31">
        <f t="shared" si="28"/>
        <v>2</v>
      </c>
      <c r="G448" s="27" t="s">
        <v>1774</v>
      </c>
      <c r="H448" s="33"/>
      <c r="I448" s="7" t="str">
        <f>IFERROR(__xludf.DUMMYFUNCTION("regexreplace(lower(C448), ""_"", """")"),"bloodvalueclmaxmeqperldate")</f>
        <v>bloodvalueclmaxmeqperldate</v>
      </c>
      <c r="J448" s="9" t="b">
        <f t="shared" si="2"/>
        <v>1</v>
      </c>
      <c r="K448" s="7" t="str">
        <f>IFERROR(__xludf.DUMMYFUNCTION("regexreplace(G448, ""_"", """")"),"bloodvalueclmaxmeqperldate")</f>
        <v>bloodvalueclmaxmeqperldate</v>
      </c>
      <c r="L448" s="33" t="s">
        <v>1775</v>
      </c>
      <c r="M448" s="33" t="s">
        <v>1776</v>
      </c>
    </row>
    <row r="449">
      <c r="A449" s="33"/>
      <c r="B449" s="27" t="s">
        <v>1582</v>
      </c>
      <c r="C449" s="27" t="s">
        <v>1777</v>
      </c>
      <c r="D449" s="27" t="s">
        <v>154</v>
      </c>
      <c r="E449" s="33" t="s">
        <v>1778</v>
      </c>
      <c r="F449" s="31">
        <f t="shared" si="28"/>
        <v>2</v>
      </c>
      <c r="G449" s="27" t="s">
        <v>1779</v>
      </c>
      <c r="H449" s="33"/>
      <c r="I449" s="7" t="str">
        <f>IFERROR(__xludf.DUMMYFUNCTION("regexreplace(lower(C449), ""_"", """")"),"bloodvaluebunmaxmgperdl")</f>
        <v>bloodvaluebunmaxmgperdl</v>
      </c>
      <c r="J449" s="9" t="b">
        <f t="shared" si="2"/>
        <v>1</v>
      </c>
      <c r="K449" s="7" t="str">
        <f>IFERROR(__xludf.DUMMYFUNCTION("regexreplace(G449, ""_"", """")"),"bloodvaluebunmaxmgperdl")</f>
        <v>bloodvaluebunmaxmgperdl</v>
      </c>
      <c r="L449" s="33" t="s">
        <v>1780</v>
      </c>
      <c r="M449" s="33" t="s">
        <v>1781</v>
      </c>
    </row>
    <row r="450">
      <c r="A450" s="33"/>
      <c r="B450" s="27" t="s">
        <v>1582</v>
      </c>
      <c r="C450" s="27" t="s">
        <v>1782</v>
      </c>
      <c r="D450" s="27" t="s">
        <v>29</v>
      </c>
      <c r="E450" s="33" t="s">
        <v>1783</v>
      </c>
      <c r="F450" s="31">
        <f t="shared" si="28"/>
        <v>2</v>
      </c>
      <c r="G450" s="27" t="s">
        <v>1784</v>
      </c>
      <c r="H450" s="33"/>
      <c r="I450" s="7" t="str">
        <f>IFERROR(__xludf.DUMMYFUNCTION("regexreplace(lower(C450), ""_"", """")"),"bloodvaluebunmaxmgperdldate")</f>
        <v>bloodvaluebunmaxmgperdldate</v>
      </c>
      <c r="J450" s="9" t="b">
        <f t="shared" si="2"/>
        <v>1</v>
      </c>
      <c r="K450" s="7" t="str">
        <f>IFERROR(__xludf.DUMMYFUNCTION("regexreplace(G450, ""_"", """")"),"bloodvaluebunmaxmgperdldate")</f>
        <v>bloodvaluebunmaxmgperdldate</v>
      </c>
      <c r="L450" s="33" t="s">
        <v>1785</v>
      </c>
      <c r="M450" s="33" t="s">
        <v>1786</v>
      </c>
    </row>
    <row r="451">
      <c r="A451" s="33"/>
      <c r="B451" s="27" t="s">
        <v>1582</v>
      </c>
      <c r="C451" s="27" t="s">
        <v>1787</v>
      </c>
      <c r="D451" s="27" t="s">
        <v>154</v>
      </c>
      <c r="E451" s="33" t="s">
        <v>1788</v>
      </c>
      <c r="F451" s="31">
        <f t="shared" si="28"/>
        <v>2</v>
      </c>
      <c r="G451" s="27" t="s">
        <v>1789</v>
      </c>
      <c r="H451" s="33"/>
      <c r="I451" s="7" t="str">
        <f>IFERROR(__xludf.DUMMYFUNCTION("regexreplace(lower(C451), ""_"", """")"),"bloodvaluecreatininemaxmgperdl")</f>
        <v>bloodvaluecreatininemaxmgperdl</v>
      </c>
      <c r="J451" s="9" t="b">
        <f t="shared" si="2"/>
        <v>1</v>
      </c>
      <c r="K451" s="7" t="str">
        <f>IFERROR(__xludf.DUMMYFUNCTION("regexreplace(G451, ""_"", """")"),"bloodvaluecreatininemaxmgperdl")</f>
        <v>bloodvaluecreatininemaxmgperdl</v>
      </c>
      <c r="L451" s="33" t="s">
        <v>1790</v>
      </c>
      <c r="M451" s="33" t="s">
        <v>1791</v>
      </c>
    </row>
    <row r="452">
      <c r="A452" s="33"/>
      <c r="B452" s="27" t="s">
        <v>1582</v>
      </c>
      <c r="C452" s="27" t="s">
        <v>1792</v>
      </c>
      <c r="D452" s="27" t="s">
        <v>29</v>
      </c>
      <c r="E452" s="33" t="s">
        <v>1793</v>
      </c>
      <c r="F452" s="31">
        <f t="shared" si="28"/>
        <v>2</v>
      </c>
      <c r="G452" s="27" t="s">
        <v>1794</v>
      </c>
      <c r="H452" s="33"/>
      <c r="I452" s="7" t="str">
        <f>IFERROR(__xludf.DUMMYFUNCTION("regexreplace(lower(C452), ""_"", """")"),"bloodvaluecreatininemaxmgperdldate")</f>
        <v>bloodvaluecreatininemaxmgperdldate</v>
      </c>
      <c r="J452" s="9" t="b">
        <f t="shared" si="2"/>
        <v>1</v>
      </c>
      <c r="K452" s="7" t="str">
        <f>IFERROR(__xludf.DUMMYFUNCTION("regexreplace(G452, ""_"", """")"),"bloodvaluecreatininemaxmgperdldate")</f>
        <v>bloodvaluecreatininemaxmgperdldate</v>
      </c>
      <c r="L452" s="33" t="s">
        <v>1795</v>
      </c>
      <c r="M452" s="33" t="s">
        <v>1796</v>
      </c>
    </row>
    <row r="453">
      <c r="A453" s="33"/>
      <c r="B453" s="27" t="s">
        <v>1582</v>
      </c>
      <c r="C453" s="27" t="s">
        <v>1797</v>
      </c>
      <c r="D453" s="27" t="s">
        <v>154</v>
      </c>
      <c r="E453" s="33" t="s">
        <v>1798</v>
      </c>
      <c r="F453" s="31">
        <f t="shared" si="28"/>
        <v>2</v>
      </c>
      <c r="G453" s="27" t="s">
        <v>1799</v>
      </c>
      <c r="H453" s="33"/>
      <c r="I453" s="7" t="str">
        <f>IFERROR(__xludf.DUMMYFUNCTION("regexreplace(lower(C453), ""_"", """")"),"bloodvalueglucosemaxmgperdl")</f>
        <v>bloodvalueglucosemaxmgperdl</v>
      </c>
      <c r="J453" s="9" t="b">
        <f t="shared" si="2"/>
        <v>1</v>
      </c>
      <c r="K453" s="7" t="str">
        <f>IFERROR(__xludf.DUMMYFUNCTION("regexreplace(G453, ""_"", """")"),"bloodvalueglucosemaxmgperdl")</f>
        <v>bloodvalueglucosemaxmgperdl</v>
      </c>
      <c r="L453" s="33" t="s">
        <v>1800</v>
      </c>
      <c r="M453" s="33" t="s">
        <v>1801</v>
      </c>
    </row>
    <row r="454">
      <c r="A454" s="33"/>
      <c r="B454" s="27" t="s">
        <v>1582</v>
      </c>
      <c r="C454" s="27" t="s">
        <v>1802</v>
      </c>
      <c r="D454" s="27" t="s">
        <v>29</v>
      </c>
      <c r="E454" s="33" t="s">
        <v>1803</v>
      </c>
      <c r="F454" s="31">
        <f t="shared" si="28"/>
        <v>2</v>
      </c>
      <c r="G454" s="27" t="s">
        <v>1804</v>
      </c>
      <c r="H454" s="33"/>
      <c r="I454" s="7" t="str">
        <f>IFERROR(__xludf.DUMMYFUNCTION("regexreplace(lower(C454), ""_"", """")"),"bloodvalueglucosemaxmgperdldate")</f>
        <v>bloodvalueglucosemaxmgperdldate</v>
      </c>
      <c r="J454" s="9" t="b">
        <f t="shared" si="2"/>
        <v>1</v>
      </c>
      <c r="K454" s="7" t="str">
        <f>IFERROR(__xludf.DUMMYFUNCTION("regexreplace(G454, ""_"", """")"),"bloodvalueglucosemaxmgperdldate")</f>
        <v>bloodvalueglucosemaxmgperdldate</v>
      </c>
      <c r="L454" s="33" t="s">
        <v>1805</v>
      </c>
      <c r="M454" s="33" t="s">
        <v>1806</v>
      </c>
    </row>
    <row r="455">
      <c r="A455" s="33"/>
      <c r="B455" s="27" t="s">
        <v>1582</v>
      </c>
      <c r="C455" s="27" t="s">
        <v>1807</v>
      </c>
      <c r="D455" s="27" t="s">
        <v>154</v>
      </c>
      <c r="E455" s="33" t="s">
        <v>1808</v>
      </c>
      <c r="F455" s="31">
        <f t="shared" si="28"/>
        <v>1</v>
      </c>
      <c r="G455" s="27" t="s">
        <v>1809</v>
      </c>
      <c r="H455" s="33"/>
      <c r="I455" s="7" t="str">
        <f>IFERROR(__xludf.DUMMYFUNCTION("regexreplace(lower(C455), ""_"", """")"),"bloodvaluetotalcamaxmgperdl")</f>
        <v>bloodvaluetotalcamaxmgperdl</v>
      </c>
      <c r="J455" s="9" t="b">
        <f t="shared" si="2"/>
        <v>1</v>
      </c>
      <c r="K455" s="7" t="str">
        <f>IFERROR(__xludf.DUMMYFUNCTION("regexreplace(G455, ""_"", """")"),"bloodvaluetotalcamaxmgperdl")</f>
        <v>bloodvaluetotalcamaxmgperdl</v>
      </c>
      <c r="L455" s="33"/>
      <c r="M455" s="33" t="s">
        <v>1810</v>
      </c>
    </row>
    <row r="456">
      <c r="A456" s="33"/>
      <c r="B456" s="27" t="s">
        <v>1582</v>
      </c>
      <c r="C456" s="27" t="s">
        <v>1811</v>
      </c>
      <c r="D456" s="27" t="s">
        <v>29</v>
      </c>
      <c r="E456" s="33" t="s">
        <v>1812</v>
      </c>
      <c r="F456" s="31">
        <f t="shared" si="28"/>
        <v>1</v>
      </c>
      <c r="G456" s="27" t="s">
        <v>1813</v>
      </c>
      <c r="H456" s="33"/>
      <c r="I456" s="7" t="str">
        <f>IFERROR(__xludf.DUMMYFUNCTION("regexreplace(lower(C456), ""_"", """")"),"bloodvaluetotalcamaxmgperdldate")</f>
        <v>bloodvaluetotalcamaxmgperdldate</v>
      </c>
      <c r="J456" s="9" t="b">
        <f t="shared" si="2"/>
        <v>1</v>
      </c>
      <c r="K456" s="7" t="str">
        <f>IFERROR(__xludf.DUMMYFUNCTION("regexreplace(G456, ""_"", """")"),"bloodvaluetotalcamaxmgperdldate")</f>
        <v>bloodvaluetotalcamaxmgperdldate</v>
      </c>
      <c r="L456" s="33"/>
      <c r="M456" s="33" t="s">
        <v>1814</v>
      </c>
    </row>
    <row r="457">
      <c r="A457" s="33"/>
      <c r="B457" s="27" t="s">
        <v>1582</v>
      </c>
      <c r="C457" s="27" t="s">
        <v>1815</v>
      </c>
      <c r="D457" s="27" t="s">
        <v>154</v>
      </c>
      <c r="E457" s="33" t="s">
        <v>1816</v>
      </c>
      <c r="F457" s="31">
        <f t="shared" si="28"/>
        <v>1</v>
      </c>
      <c r="G457" s="27" t="s">
        <v>1817</v>
      </c>
      <c r="H457" s="33"/>
      <c r="I457" s="7" t="str">
        <f>IFERROR(__xludf.DUMMYFUNCTION("regexreplace(lower(C457), ""_"", """")"),"bloodvalueioncamaxmgperdl")</f>
        <v>bloodvalueioncamaxmgperdl</v>
      </c>
      <c r="J457" s="9" t="b">
        <f t="shared" si="2"/>
        <v>1</v>
      </c>
      <c r="K457" s="7" t="str">
        <f>IFERROR(__xludf.DUMMYFUNCTION("regexreplace(G457, ""_"", """")"),"bloodvalueioncamaxmgperdl")</f>
        <v>bloodvalueioncamaxmgperdl</v>
      </c>
      <c r="L457" s="33"/>
      <c r="M457" s="33" t="s">
        <v>1818</v>
      </c>
    </row>
    <row r="458">
      <c r="A458" s="33"/>
      <c r="B458" s="27" t="s">
        <v>1582</v>
      </c>
      <c r="C458" s="27" t="s">
        <v>1819</v>
      </c>
      <c r="D458" s="27" t="s">
        <v>29</v>
      </c>
      <c r="E458" s="33" t="s">
        <v>1820</v>
      </c>
      <c r="F458" s="31">
        <f t="shared" si="28"/>
        <v>1</v>
      </c>
      <c r="G458" s="27" t="s">
        <v>1821</v>
      </c>
      <c r="H458" s="33"/>
      <c r="I458" s="7" t="str">
        <f>IFERROR(__xludf.DUMMYFUNCTION("regexreplace(lower(C458), ""_"", """")"),"bloodvalueioncamaxmgperdldate")</f>
        <v>bloodvalueioncamaxmgperdldate</v>
      </c>
      <c r="J458" s="9" t="b">
        <f t="shared" si="2"/>
        <v>1</v>
      </c>
      <c r="K458" s="7" t="str">
        <f>IFERROR(__xludf.DUMMYFUNCTION("regexreplace(G458, ""_"", """")"),"bloodvalueioncamaxmgperdldate")</f>
        <v>bloodvalueioncamaxmgperdldate</v>
      </c>
      <c r="L458" s="33"/>
      <c r="M458" s="33" t="s">
        <v>1822</v>
      </c>
    </row>
    <row r="459">
      <c r="A459" s="33"/>
      <c r="B459" s="27" t="s">
        <v>1582</v>
      </c>
      <c r="C459" s="27" t="s">
        <v>1823</v>
      </c>
      <c r="D459" s="27" t="s">
        <v>154</v>
      </c>
      <c r="E459" s="33" t="s">
        <v>1824</v>
      </c>
      <c r="F459" s="31">
        <f t="shared" si="28"/>
        <v>2</v>
      </c>
      <c r="G459" s="27" t="s">
        <v>1825</v>
      </c>
      <c r="H459" s="33"/>
      <c r="I459" s="7" t="str">
        <f>IFERROR(__xludf.DUMMYFUNCTION("regexreplace(lower(C459), ""_"", """")"),"bloodvalueastsgotmaxuperl")</f>
        <v>bloodvalueastsgotmaxuperl</v>
      </c>
      <c r="J459" s="9" t="b">
        <f t="shared" si="2"/>
        <v>1</v>
      </c>
      <c r="K459" s="7" t="str">
        <f>IFERROR(__xludf.DUMMYFUNCTION("regexreplace(G459, ""_"", """")"),"bloodvalueastsgotmaxuperl")</f>
        <v>bloodvalueastsgotmaxuperl</v>
      </c>
      <c r="L459" s="33" t="s">
        <v>1826</v>
      </c>
      <c r="M459" s="33" t="s">
        <v>1827</v>
      </c>
    </row>
    <row r="460">
      <c r="A460" s="33"/>
      <c r="B460" s="27" t="s">
        <v>1582</v>
      </c>
      <c r="C460" s="27" t="s">
        <v>1828</v>
      </c>
      <c r="D460" s="27" t="s">
        <v>29</v>
      </c>
      <c r="E460" s="33" t="s">
        <v>1829</v>
      </c>
      <c r="F460" s="31">
        <f t="shared" si="28"/>
        <v>2</v>
      </c>
      <c r="G460" s="27" t="s">
        <v>1830</v>
      </c>
      <c r="H460" s="33"/>
      <c r="I460" s="7" t="str">
        <f>IFERROR(__xludf.DUMMYFUNCTION("regexreplace(lower(C460), ""_"", """")"),"bloodvalueastsgotmaxuperldate")</f>
        <v>bloodvalueastsgotmaxuperldate</v>
      </c>
      <c r="J460" s="9" t="b">
        <f t="shared" si="2"/>
        <v>1</v>
      </c>
      <c r="K460" s="7" t="str">
        <f>IFERROR(__xludf.DUMMYFUNCTION("regexreplace(G460, ""_"", """")"),"bloodvalueastsgotmaxuperldate")</f>
        <v>bloodvalueastsgotmaxuperldate</v>
      </c>
      <c r="L460" s="33" t="s">
        <v>1831</v>
      </c>
      <c r="M460" s="33" t="s">
        <v>1832</v>
      </c>
    </row>
    <row r="461">
      <c r="A461" s="33"/>
      <c r="B461" s="27" t="s">
        <v>1582</v>
      </c>
      <c r="C461" s="27" t="s">
        <v>1833</v>
      </c>
      <c r="D461" s="27" t="s">
        <v>154</v>
      </c>
      <c r="E461" s="33" t="s">
        <v>1834</v>
      </c>
      <c r="F461" s="31">
        <f t="shared" si="28"/>
        <v>2</v>
      </c>
      <c r="G461" s="27" t="s">
        <v>1835</v>
      </c>
      <c r="H461" s="33"/>
      <c r="I461" s="7" t="str">
        <f>IFERROR(__xludf.DUMMYFUNCTION("regexreplace(lower(C461), ""_"", """")"),"bloodvaluealtsgptmaxuperl")</f>
        <v>bloodvaluealtsgptmaxuperl</v>
      </c>
      <c r="J461" s="9" t="b">
        <f t="shared" si="2"/>
        <v>1</v>
      </c>
      <c r="K461" s="7" t="str">
        <f>IFERROR(__xludf.DUMMYFUNCTION("regexreplace(G461, ""_"", """")"),"bloodvaluealtsgptmaxuperl")</f>
        <v>bloodvaluealtsgptmaxuperl</v>
      </c>
      <c r="L461" s="33" t="s">
        <v>1836</v>
      </c>
      <c r="M461" s="33" t="s">
        <v>1837</v>
      </c>
    </row>
    <row r="462">
      <c r="A462" s="33"/>
      <c r="B462" s="27" t="s">
        <v>1582</v>
      </c>
      <c r="C462" s="27" t="s">
        <v>1838</v>
      </c>
      <c r="D462" s="27" t="s">
        <v>29</v>
      </c>
      <c r="E462" s="33" t="s">
        <v>1839</v>
      </c>
      <c r="F462" s="31">
        <f t="shared" si="28"/>
        <v>2</v>
      </c>
      <c r="G462" s="27" t="s">
        <v>1840</v>
      </c>
      <c r="H462" s="33"/>
      <c r="I462" s="7" t="str">
        <f>IFERROR(__xludf.DUMMYFUNCTION("regexreplace(lower(C462), ""_"", """")"),"bloodvaluealtsgptmaxuperldate")</f>
        <v>bloodvaluealtsgptmaxuperldate</v>
      </c>
      <c r="J462" s="9" t="b">
        <f t="shared" si="2"/>
        <v>1</v>
      </c>
      <c r="K462" s="7" t="str">
        <f>IFERROR(__xludf.DUMMYFUNCTION("regexreplace(G462, ""_"", """")"),"bloodvaluealtsgptmaxuperldate")</f>
        <v>bloodvaluealtsgptmaxuperldate</v>
      </c>
      <c r="L462" s="33" t="s">
        <v>1841</v>
      </c>
      <c r="M462" s="33" t="s">
        <v>1842</v>
      </c>
    </row>
    <row r="463">
      <c r="A463" s="33"/>
      <c r="B463" s="27" t="s">
        <v>1582</v>
      </c>
      <c r="C463" s="27" t="s">
        <v>1843</v>
      </c>
      <c r="D463" s="27" t="s">
        <v>154</v>
      </c>
      <c r="E463" s="33" t="s">
        <v>1844</v>
      </c>
      <c r="F463" s="31">
        <f t="shared" si="28"/>
        <v>1</v>
      </c>
      <c r="G463" s="27" t="s">
        <v>1845</v>
      </c>
      <c r="H463" s="33"/>
      <c r="I463" s="7" t="str">
        <f>IFERROR(__xludf.DUMMYFUNCTION("regexreplace(lower(C463), ""_"", """")"),"bloodvaluetotalbilirubinmaxmgperdl")</f>
        <v>bloodvaluetotalbilirubinmaxmgperdl</v>
      </c>
      <c r="J463" s="9" t="b">
        <f t="shared" si="2"/>
        <v>1</v>
      </c>
      <c r="K463" s="7" t="str">
        <f>IFERROR(__xludf.DUMMYFUNCTION("regexreplace(G463, ""_"", """")"),"bloodvaluetotalbilirubinmaxmgperdl")</f>
        <v>bloodvaluetotalbilirubinmaxmgperdl</v>
      </c>
      <c r="L463" s="33"/>
      <c r="M463" s="33" t="s">
        <v>1846</v>
      </c>
    </row>
    <row r="464">
      <c r="A464" s="33"/>
      <c r="B464" s="27" t="s">
        <v>1582</v>
      </c>
      <c r="C464" s="27" t="s">
        <v>1847</v>
      </c>
      <c r="D464" s="27" t="s">
        <v>29</v>
      </c>
      <c r="E464" s="33" t="s">
        <v>1848</v>
      </c>
      <c r="F464" s="31">
        <f t="shared" si="28"/>
        <v>1</v>
      </c>
      <c r="G464" s="27" t="s">
        <v>1849</v>
      </c>
      <c r="H464" s="33"/>
      <c r="I464" s="7" t="str">
        <f>IFERROR(__xludf.DUMMYFUNCTION("regexreplace(lower(C464), ""_"", """")"),"bloodvaluetotalbilirubinmaxmgperdldate")</f>
        <v>bloodvaluetotalbilirubinmaxmgperdldate</v>
      </c>
      <c r="J464" s="9" t="b">
        <f t="shared" si="2"/>
        <v>1</v>
      </c>
      <c r="K464" s="7" t="str">
        <f>IFERROR(__xludf.DUMMYFUNCTION("regexreplace(G464, ""_"", """")"),"bloodvaluetotalbilirubinmaxmgperdldate")</f>
        <v>bloodvaluetotalbilirubinmaxmgperdldate</v>
      </c>
      <c r="L464" s="33"/>
      <c r="M464" s="33" t="s">
        <v>1850</v>
      </c>
    </row>
    <row r="465">
      <c r="A465" s="12"/>
      <c r="B465" s="12"/>
      <c r="C465" s="13"/>
      <c r="D465" s="12"/>
      <c r="E465" s="12"/>
      <c r="F465" s="12"/>
      <c r="G465" s="12"/>
      <c r="H465" s="12"/>
      <c r="I465" s="13" t="str">
        <f>IFERROR(__xludf.DUMMYFUNCTION("regexreplace(lower(C465), ""_"", """")"),"")</f>
        <v/>
      </c>
      <c r="J465" s="14" t="str">
        <f t="shared" si="2"/>
        <v/>
      </c>
      <c r="K465" s="13" t="str">
        <f>IFERROR(__xludf.DUMMYFUNCTION("regexreplace(G465, ""_"", """")"),"")</f>
        <v/>
      </c>
      <c r="L465" s="12"/>
      <c r="M465" s="12"/>
    </row>
    <row r="466">
      <c r="A466" s="27" t="s">
        <v>1326</v>
      </c>
      <c r="B466" s="27" t="s">
        <v>987</v>
      </c>
      <c r="C466" s="27" t="s">
        <v>1851</v>
      </c>
      <c r="D466" s="27" t="s">
        <v>34</v>
      </c>
      <c r="E466" s="33" t="s">
        <v>1852</v>
      </c>
      <c r="F466" s="31">
        <f t="shared" ref="F466:F481" si="29">counta(L466:M466)</f>
        <v>1</v>
      </c>
      <c r="G466" s="27" t="s">
        <v>1853</v>
      </c>
      <c r="H466" s="33"/>
      <c r="I466" s="7" t="str">
        <f>IFERROR(__xludf.DUMMYFUNCTION("regexreplace(lower(C466), ""_"", """")"),"positiveculturenumber")</f>
        <v>positiveculturenumber</v>
      </c>
      <c r="J466" s="9" t="b">
        <f t="shared" si="2"/>
        <v>1</v>
      </c>
      <c r="K466" s="7" t="str">
        <f>IFERROR(__xludf.DUMMYFUNCTION("regexreplace(G466, ""_"", """")"),"positiveculturenumber")</f>
        <v>positiveculturenumber</v>
      </c>
      <c r="L466" s="33"/>
      <c r="M466" s="33" t="s">
        <v>1854</v>
      </c>
    </row>
    <row r="467">
      <c r="A467" s="33"/>
      <c r="B467" s="27" t="s">
        <v>987</v>
      </c>
      <c r="C467" s="27" t="s">
        <v>1855</v>
      </c>
      <c r="D467" s="27" t="s">
        <v>43</v>
      </c>
      <c r="E467" s="33" t="s">
        <v>1856</v>
      </c>
      <c r="F467" s="31">
        <f t="shared" si="29"/>
        <v>1</v>
      </c>
      <c r="G467" s="27" t="s">
        <v>1857</v>
      </c>
      <c r="H467" s="33"/>
      <c r="I467" s="7" t="str">
        <f>IFERROR(__xludf.DUMMYFUNCTION("regexreplace(lower(C467), ""_"", """")"),"positiveculture")</f>
        <v>positiveculture</v>
      </c>
      <c r="J467" s="9" t="b">
        <f t="shared" si="2"/>
        <v>1</v>
      </c>
      <c r="K467" s="7" t="str">
        <f>IFERROR(__xludf.DUMMYFUNCTION("regexreplace(G467, ""_"", """")"),"positiveculture")</f>
        <v>positiveculture</v>
      </c>
      <c r="L467" s="33" t="s">
        <v>1858</v>
      </c>
      <c r="M467" s="33"/>
    </row>
    <row r="468">
      <c r="A468" s="33"/>
      <c r="B468" s="27" t="s">
        <v>987</v>
      </c>
      <c r="C468" s="27" t="s">
        <v>993</v>
      </c>
      <c r="D468" s="27" t="s">
        <v>993</v>
      </c>
      <c r="E468" s="33" t="s">
        <v>1859</v>
      </c>
      <c r="F468" s="31">
        <f t="shared" si="29"/>
        <v>2</v>
      </c>
      <c r="G468" s="27" t="s">
        <v>1860</v>
      </c>
      <c r="H468" s="33"/>
      <c r="I468" s="7" t="str">
        <f>IFERROR(__xludf.DUMMYFUNCTION("regexreplace(lower(C468), ""_"", """")"),"positiveculturesrc")</f>
        <v>positiveculturesrc</v>
      </c>
      <c r="J468" s="9" t="b">
        <f t="shared" si="2"/>
        <v>1</v>
      </c>
      <c r="K468" s="7" t="str">
        <f>IFERROR(__xludf.DUMMYFUNCTION("regexreplace(G468, ""_"", """")"),"positiveculturesrc")</f>
        <v>positiveculturesrc</v>
      </c>
      <c r="L468" s="33" t="s">
        <v>1861</v>
      </c>
      <c r="M468" s="33" t="s">
        <v>1862</v>
      </c>
    </row>
    <row r="469">
      <c r="A469" s="33"/>
      <c r="B469" s="27" t="s">
        <v>987</v>
      </c>
      <c r="C469" s="27" t="s">
        <v>1863</v>
      </c>
      <c r="D469" s="27" t="s">
        <v>29</v>
      </c>
      <c r="E469" s="33" t="s">
        <v>1864</v>
      </c>
      <c r="F469" s="31">
        <f t="shared" si="29"/>
        <v>2</v>
      </c>
      <c r="G469" s="27" t="s">
        <v>1865</v>
      </c>
      <c r="H469" s="33"/>
      <c r="I469" s="7" t="str">
        <f>IFERROR(__xludf.DUMMYFUNCTION("regexreplace(lower(C469), ""_"", """")"),"positiveculturedate")</f>
        <v>positiveculturedate</v>
      </c>
      <c r="J469" s="9" t="b">
        <f t="shared" si="2"/>
        <v>1</v>
      </c>
      <c r="K469" s="7" t="str">
        <f>IFERROR(__xludf.DUMMYFUNCTION("regexreplace(G469, ""_"", """")"),"positiveculturedate")</f>
        <v>positiveculturedate</v>
      </c>
      <c r="L469" s="33" t="s">
        <v>1866</v>
      </c>
      <c r="M469" s="33" t="s">
        <v>1867</v>
      </c>
    </row>
    <row r="470">
      <c r="A470" s="33"/>
      <c r="B470" s="27" t="s">
        <v>987</v>
      </c>
      <c r="C470" s="27" t="s">
        <v>1868</v>
      </c>
      <c r="D470" s="27" t="s">
        <v>148</v>
      </c>
      <c r="E470" s="33" t="s">
        <v>1869</v>
      </c>
      <c r="F470" s="31">
        <f t="shared" si="29"/>
        <v>2</v>
      </c>
      <c r="G470" s="27" t="s">
        <v>1870</v>
      </c>
      <c r="H470" s="33"/>
      <c r="I470" s="7" t="str">
        <f>IFERROR(__xludf.DUMMYFUNCTION("regexreplace(lower(C470), ""_"", """")"),"positiveculturetime")</f>
        <v>positiveculturetime</v>
      </c>
      <c r="J470" s="9" t="b">
        <f t="shared" si="2"/>
        <v>1</v>
      </c>
      <c r="K470" s="7" t="str">
        <f>IFERROR(__xludf.DUMMYFUNCTION("regexreplace(G470, ""_"", """")"),"positiveculturetime")</f>
        <v>positiveculturetime</v>
      </c>
      <c r="L470" s="33" t="s">
        <v>1871</v>
      </c>
      <c r="M470" s="33" t="s">
        <v>1872</v>
      </c>
    </row>
    <row r="471">
      <c r="A471" s="33"/>
      <c r="B471" s="27" t="s">
        <v>987</v>
      </c>
      <c r="C471" s="27" t="s">
        <v>1873</v>
      </c>
      <c r="D471" s="27" t="s">
        <v>1006</v>
      </c>
      <c r="E471" s="33" t="s">
        <v>1874</v>
      </c>
      <c r="F471" s="31">
        <f t="shared" si="29"/>
        <v>2</v>
      </c>
      <c r="G471" s="27" t="s">
        <v>1875</v>
      </c>
      <c r="H471" s="33"/>
      <c r="I471" s="7" t="str">
        <f>IFERROR(__xludf.DUMMYFUNCTION("regexreplace(lower(C471), ""_"", """")"),"positivecultureorganismcode1")</f>
        <v>positivecultureorganismcode1</v>
      </c>
      <c r="J471" s="9" t="b">
        <f t="shared" si="2"/>
        <v>1</v>
      </c>
      <c r="K471" s="7" t="str">
        <f>IFERROR(__xludf.DUMMYFUNCTION("regexreplace(G471, ""_"", """")"),"positivecultureorganismcode1")</f>
        <v>positivecultureorganismcode1</v>
      </c>
      <c r="L471" s="33" t="s">
        <v>1876</v>
      </c>
      <c r="M471" s="33" t="s">
        <v>1877</v>
      </c>
    </row>
    <row r="472">
      <c r="A472" s="33"/>
      <c r="B472" s="27" t="s">
        <v>987</v>
      </c>
      <c r="C472" s="27" t="s">
        <v>1878</v>
      </c>
      <c r="D472" s="27" t="s">
        <v>1006</v>
      </c>
      <c r="E472" s="33" t="s">
        <v>1879</v>
      </c>
      <c r="F472" s="31">
        <f t="shared" si="29"/>
        <v>2</v>
      </c>
      <c r="G472" s="27" t="s">
        <v>1880</v>
      </c>
      <c r="H472" s="33"/>
      <c r="I472" s="7" t="str">
        <f>IFERROR(__xludf.DUMMYFUNCTION("regexreplace(lower(C472), ""_"", """")"),"positivecultureorganismcode2")</f>
        <v>positivecultureorganismcode2</v>
      </c>
      <c r="J472" s="9" t="b">
        <f t="shared" si="2"/>
        <v>1</v>
      </c>
      <c r="K472" s="7" t="str">
        <f>IFERROR(__xludf.DUMMYFUNCTION("regexreplace(G472, ""_"", """")"),"positivecultureorganismcode2")</f>
        <v>positivecultureorganismcode2</v>
      </c>
      <c r="L472" s="33" t="s">
        <v>1881</v>
      </c>
      <c r="M472" s="33" t="s">
        <v>1882</v>
      </c>
    </row>
    <row r="473">
      <c r="A473" s="33"/>
      <c r="B473" s="27" t="s">
        <v>987</v>
      </c>
      <c r="C473" s="27" t="s">
        <v>1883</v>
      </c>
      <c r="D473" s="27" t="s">
        <v>1006</v>
      </c>
      <c r="E473" s="33" t="s">
        <v>1884</v>
      </c>
      <c r="F473" s="31">
        <f t="shared" si="29"/>
        <v>2</v>
      </c>
      <c r="G473" s="27" t="s">
        <v>1885</v>
      </c>
      <c r="H473" s="33"/>
      <c r="I473" s="7" t="str">
        <f>IFERROR(__xludf.DUMMYFUNCTION("regexreplace(lower(C473), ""_"", """")"),"positivecultureorganismcode3")</f>
        <v>positivecultureorganismcode3</v>
      </c>
      <c r="J473" s="9" t="b">
        <f t="shared" si="2"/>
        <v>1</v>
      </c>
      <c r="K473" s="7" t="str">
        <f>IFERROR(__xludf.DUMMYFUNCTION("regexreplace(G473, ""_"", """")"),"positivecultureorganismcode3")</f>
        <v>positivecultureorganismcode3</v>
      </c>
      <c r="L473" s="33" t="s">
        <v>1886</v>
      </c>
      <c r="M473" s="33" t="s">
        <v>1887</v>
      </c>
    </row>
    <row r="474">
      <c r="A474" s="33"/>
      <c r="B474" s="27" t="s">
        <v>987</v>
      </c>
      <c r="C474" s="27" t="s">
        <v>456</v>
      </c>
      <c r="D474" s="27" t="s">
        <v>43</v>
      </c>
      <c r="E474" s="33" t="s">
        <v>1888</v>
      </c>
      <c r="F474" s="31">
        <f t="shared" si="29"/>
        <v>2</v>
      </c>
      <c r="G474" s="27" t="s">
        <v>456</v>
      </c>
      <c r="H474" s="33"/>
      <c r="I474" s="7" t="str">
        <f>IFERROR(__xludf.DUMMYFUNCTION("regexreplace(lower(C474), ""_"", """")"),"antibiotics")</f>
        <v>antibiotics</v>
      </c>
      <c r="J474" s="9" t="b">
        <f t="shared" si="2"/>
        <v>1</v>
      </c>
      <c r="K474" s="7" t="str">
        <f>IFERROR(__xludf.DUMMYFUNCTION("regexreplace(G474, ""_"", """")"),"antibiotics")</f>
        <v>antibiotics</v>
      </c>
      <c r="L474" s="33" t="s">
        <v>1889</v>
      </c>
      <c r="M474" s="33" t="s">
        <v>1890</v>
      </c>
    </row>
    <row r="475">
      <c r="A475" s="33"/>
      <c r="B475" s="27" t="s">
        <v>987</v>
      </c>
      <c r="C475" s="27" t="s">
        <v>1891</v>
      </c>
      <c r="D475" s="27" t="s">
        <v>456</v>
      </c>
      <c r="E475" s="33" t="s">
        <v>1892</v>
      </c>
      <c r="F475" s="31">
        <f t="shared" si="29"/>
        <v>2</v>
      </c>
      <c r="G475" s="27" t="s">
        <v>1893</v>
      </c>
      <c r="H475" s="33"/>
      <c r="I475" s="7" t="str">
        <f>IFERROR(__xludf.DUMMYFUNCTION("regexreplace(lower(C475), ""_"", """")"),"antibioticscode1")</f>
        <v>antibioticscode1</v>
      </c>
      <c r="J475" s="9" t="b">
        <f t="shared" si="2"/>
        <v>1</v>
      </c>
      <c r="K475" s="7" t="str">
        <f>IFERROR(__xludf.DUMMYFUNCTION("regexreplace(G475, ""_"", """")"),"antibioticscode1")</f>
        <v>antibioticscode1</v>
      </c>
      <c r="L475" s="33" t="s">
        <v>1894</v>
      </c>
      <c r="M475" s="33" t="s">
        <v>1895</v>
      </c>
    </row>
    <row r="476">
      <c r="A476" s="33"/>
      <c r="B476" s="27" t="s">
        <v>987</v>
      </c>
      <c r="C476" s="27" t="s">
        <v>1896</v>
      </c>
      <c r="D476" s="27" t="s">
        <v>456</v>
      </c>
      <c r="E476" s="33" t="s">
        <v>1897</v>
      </c>
      <c r="F476" s="31">
        <f t="shared" si="29"/>
        <v>2</v>
      </c>
      <c r="G476" s="27" t="s">
        <v>1898</v>
      </c>
      <c r="H476" s="33"/>
      <c r="I476" s="7" t="str">
        <f>IFERROR(__xludf.DUMMYFUNCTION("regexreplace(lower(C476), ""_"", """")"),"antibioticscode2")</f>
        <v>antibioticscode2</v>
      </c>
      <c r="J476" s="9" t="b">
        <f t="shared" si="2"/>
        <v>1</v>
      </c>
      <c r="K476" s="7" t="str">
        <f>IFERROR(__xludf.DUMMYFUNCTION("regexreplace(G476, ""_"", """")"),"antibioticscode2")</f>
        <v>antibioticscode2</v>
      </c>
      <c r="L476" s="33" t="s">
        <v>1899</v>
      </c>
      <c r="M476" s="33" t="s">
        <v>1900</v>
      </c>
    </row>
    <row r="477">
      <c r="A477" s="33"/>
      <c r="B477" s="27" t="s">
        <v>987</v>
      </c>
      <c r="C477" s="27" t="s">
        <v>1901</v>
      </c>
      <c r="D477" s="27" t="s">
        <v>456</v>
      </c>
      <c r="E477" s="33" t="s">
        <v>1902</v>
      </c>
      <c r="F477" s="31">
        <f t="shared" si="29"/>
        <v>2</v>
      </c>
      <c r="G477" s="27" t="s">
        <v>1903</v>
      </c>
      <c r="H477" s="33"/>
      <c r="I477" s="7" t="str">
        <f>IFERROR(__xludf.DUMMYFUNCTION("regexreplace(lower(C477), ""_"", """")"),"antibioticscode3")</f>
        <v>antibioticscode3</v>
      </c>
      <c r="J477" s="9" t="b">
        <f t="shared" si="2"/>
        <v>1</v>
      </c>
      <c r="K477" s="7" t="str">
        <f>IFERROR(__xludf.DUMMYFUNCTION("regexreplace(G477, ""_"", """")"),"antibioticscode3")</f>
        <v>antibioticscode3</v>
      </c>
      <c r="L477" s="33" t="s">
        <v>1904</v>
      </c>
      <c r="M477" s="33" t="s">
        <v>1905</v>
      </c>
    </row>
    <row r="478">
      <c r="A478" s="33"/>
      <c r="B478" s="27" t="s">
        <v>987</v>
      </c>
      <c r="C478" s="27" t="s">
        <v>1906</v>
      </c>
      <c r="D478" s="27" t="s">
        <v>43</v>
      </c>
      <c r="E478" s="33" t="s">
        <v>1907</v>
      </c>
      <c r="F478" s="31">
        <f t="shared" si="29"/>
        <v>1</v>
      </c>
      <c r="G478" s="27" t="s">
        <v>1908</v>
      </c>
      <c r="H478" s="33"/>
      <c r="I478" s="7" t="str">
        <f>IFERROR(__xludf.DUMMYFUNCTION("regexreplace(lower(C478), ""_"", """")"),"rewarmingantibiotics")</f>
        <v>rewarmingantibiotics</v>
      </c>
      <c r="J478" s="9" t="b">
        <f t="shared" si="2"/>
        <v>1</v>
      </c>
      <c r="K478" s="7" t="str">
        <f>IFERROR(__xludf.DUMMYFUNCTION("regexreplace(G478, ""_"", """")"),"rewarmingantibiotics")</f>
        <v>rewarmingantibiotics</v>
      </c>
      <c r="L478" s="33"/>
      <c r="M478" s="33" t="s">
        <v>1909</v>
      </c>
    </row>
    <row r="479">
      <c r="A479" s="33"/>
      <c r="B479" s="27" t="s">
        <v>987</v>
      </c>
      <c r="C479" s="27" t="s">
        <v>1910</v>
      </c>
      <c r="D479" s="27" t="s">
        <v>456</v>
      </c>
      <c r="E479" s="33" t="s">
        <v>1911</v>
      </c>
      <c r="F479" s="31">
        <f t="shared" si="29"/>
        <v>1</v>
      </c>
      <c r="G479" s="27" t="s">
        <v>1912</v>
      </c>
      <c r="H479" s="33"/>
      <c r="I479" s="7" t="str">
        <f>IFERROR(__xludf.DUMMYFUNCTION("regexreplace(lower(C479), ""_"", """")"),"rewarmingantibioticscode1")</f>
        <v>rewarmingantibioticscode1</v>
      </c>
      <c r="J479" s="9" t="b">
        <f t="shared" si="2"/>
        <v>1</v>
      </c>
      <c r="K479" s="7" t="str">
        <f>IFERROR(__xludf.DUMMYFUNCTION("regexreplace(G479, ""_"", """")"),"rewarmingantibioticscode1")</f>
        <v>rewarmingantibioticscode1</v>
      </c>
      <c r="L479" s="33"/>
      <c r="M479" s="33" t="s">
        <v>1913</v>
      </c>
    </row>
    <row r="480">
      <c r="A480" s="33"/>
      <c r="B480" s="27" t="s">
        <v>987</v>
      </c>
      <c r="C480" s="27" t="s">
        <v>1914</v>
      </c>
      <c r="D480" s="27" t="s">
        <v>456</v>
      </c>
      <c r="E480" s="33" t="s">
        <v>1915</v>
      </c>
      <c r="F480" s="31">
        <f t="shared" si="29"/>
        <v>1</v>
      </c>
      <c r="G480" s="27" t="s">
        <v>1916</v>
      </c>
      <c r="H480" s="33"/>
      <c r="I480" s="7" t="str">
        <f>IFERROR(__xludf.DUMMYFUNCTION("regexreplace(lower(C480), ""_"", """")"),"rewarmingantibioticscode2")</f>
        <v>rewarmingantibioticscode2</v>
      </c>
      <c r="J480" s="9" t="b">
        <f t="shared" si="2"/>
        <v>1</v>
      </c>
      <c r="K480" s="7" t="str">
        <f>IFERROR(__xludf.DUMMYFUNCTION("regexreplace(G480, ""_"", """")"),"rewarmingantibioticscode2")</f>
        <v>rewarmingantibioticscode2</v>
      </c>
      <c r="L480" s="33"/>
      <c r="M480" s="33" t="s">
        <v>1917</v>
      </c>
    </row>
    <row r="481">
      <c r="A481" s="33"/>
      <c r="B481" s="27" t="s">
        <v>987</v>
      </c>
      <c r="C481" s="27" t="s">
        <v>1918</v>
      </c>
      <c r="D481" s="27" t="s">
        <v>456</v>
      </c>
      <c r="E481" s="33" t="s">
        <v>1919</v>
      </c>
      <c r="F481" s="31">
        <f t="shared" si="29"/>
        <v>1</v>
      </c>
      <c r="G481" s="27" t="s">
        <v>1920</v>
      </c>
      <c r="H481" s="33"/>
      <c r="I481" s="7" t="str">
        <f>IFERROR(__xludf.DUMMYFUNCTION("regexreplace(lower(C481), ""_"", """")"),"rewarmingantibioticscode3")</f>
        <v>rewarmingantibioticscode3</v>
      </c>
      <c r="J481" s="9" t="b">
        <f t="shared" si="2"/>
        <v>1</v>
      </c>
      <c r="K481" s="7" t="str">
        <f>IFERROR(__xludf.DUMMYFUNCTION("regexreplace(G481, ""_"", """")"),"rewarmingantibioticscode3")</f>
        <v>rewarmingantibioticscode3</v>
      </c>
      <c r="L481" s="33"/>
      <c r="M481" s="33" t="s">
        <v>1921</v>
      </c>
    </row>
    <row r="482">
      <c r="A482" s="12"/>
      <c r="B482" s="12"/>
      <c r="C482" s="13"/>
      <c r="D482" s="12"/>
      <c r="E482" s="12"/>
      <c r="F482" s="12"/>
      <c r="G482" s="12"/>
      <c r="H482" s="12"/>
      <c r="I482" s="13" t="str">
        <f>IFERROR(__xludf.DUMMYFUNCTION("regexreplace(lower(C482), ""_"", """")"),"")</f>
        <v/>
      </c>
      <c r="J482" s="14" t="str">
        <f t="shared" si="2"/>
        <v/>
      </c>
      <c r="K482" s="13" t="str">
        <f>IFERROR(__xludf.DUMMYFUNCTION("regexreplace(G482, ""_"", """")"),"")</f>
        <v/>
      </c>
      <c r="L482" s="12"/>
      <c r="M482" s="12"/>
    </row>
    <row r="483">
      <c r="A483" s="27" t="s">
        <v>1326</v>
      </c>
      <c r="B483" s="27" t="s">
        <v>1038</v>
      </c>
      <c r="C483" s="32" t="s">
        <v>1922</v>
      </c>
      <c r="D483" s="27" t="s">
        <v>34</v>
      </c>
      <c r="E483" s="34" t="s">
        <v>1923</v>
      </c>
      <c r="F483" s="31">
        <f t="shared" ref="F483:F503" si="30">counta(L483:M483)</f>
        <v>1</v>
      </c>
      <c r="G483" s="32" t="s">
        <v>1924</v>
      </c>
      <c r="H483" s="33"/>
      <c r="I483" s="7" t="str">
        <f>IFERROR(__xludf.DUMMYFUNCTION("regexreplace(lower(C483), ""_"", """")"),"othermedtimeslotmin")</f>
        <v>othermedtimeslotmin</v>
      </c>
      <c r="J483" s="9" t="b">
        <f t="shared" si="2"/>
        <v>1</v>
      </c>
      <c r="K483" s="7" t="str">
        <f>IFERROR(__xludf.DUMMYFUNCTION("regexreplace(G483, ""_"", """")"),"othermedtimeslotmin")</f>
        <v>othermedtimeslotmin</v>
      </c>
      <c r="L483" s="34" t="s">
        <v>1925</v>
      </c>
      <c r="M483" s="33"/>
    </row>
    <row r="484">
      <c r="A484" s="33"/>
      <c r="B484" s="27" t="s">
        <v>1038</v>
      </c>
      <c r="C484" s="27" t="s">
        <v>1926</v>
      </c>
      <c r="D484" s="27" t="s">
        <v>29</v>
      </c>
      <c r="E484" s="35" t="s">
        <v>1040</v>
      </c>
      <c r="F484" s="31">
        <f t="shared" si="30"/>
        <v>1</v>
      </c>
      <c r="G484" s="27" t="s">
        <v>1927</v>
      </c>
      <c r="H484" s="33"/>
      <c r="I484" s="7" t="str">
        <f>IFERROR(__xludf.DUMMYFUNCTION("regexreplace(lower(C484), ""_"", """")"),"othermedtargetdate")</f>
        <v>othermedtargetdate</v>
      </c>
      <c r="J484" s="9" t="b">
        <f t="shared" si="2"/>
        <v>1</v>
      </c>
      <c r="K484" s="7" t="str">
        <f>IFERROR(__xludf.DUMMYFUNCTION("regexreplace(G484, ""_"", """")"),"othermedtargetdate")</f>
        <v>othermedtargetdate</v>
      </c>
      <c r="L484" s="36" t="s">
        <v>1928</v>
      </c>
      <c r="M484" s="33"/>
    </row>
    <row r="485">
      <c r="A485" s="33"/>
      <c r="B485" s="27" t="s">
        <v>1038</v>
      </c>
      <c r="C485" s="27" t="s">
        <v>1929</v>
      </c>
      <c r="D485" s="27" t="s">
        <v>148</v>
      </c>
      <c r="E485" s="35" t="s">
        <v>1043</v>
      </c>
      <c r="F485" s="31">
        <f t="shared" si="30"/>
        <v>1</v>
      </c>
      <c r="G485" s="27" t="s">
        <v>1930</v>
      </c>
      <c r="H485" s="33"/>
      <c r="I485" s="7" t="str">
        <f>IFERROR(__xludf.DUMMYFUNCTION("regexreplace(lower(C485), ""_"", """")"),"othermedtargettime")</f>
        <v>othermedtargettime</v>
      </c>
      <c r="J485" s="9" t="b">
        <f t="shared" si="2"/>
        <v>1</v>
      </c>
      <c r="K485" s="7" t="str">
        <f>IFERROR(__xludf.DUMMYFUNCTION("regexreplace(G485, ""_"", """")"),"othermedtargettime")</f>
        <v>othermedtargettime</v>
      </c>
      <c r="L485" s="36" t="s">
        <v>1931</v>
      </c>
      <c r="M485" s="33"/>
    </row>
    <row r="486">
      <c r="A486" s="33"/>
      <c r="B486" s="27" t="s">
        <v>1038</v>
      </c>
      <c r="C486" s="27" t="s">
        <v>1046</v>
      </c>
      <c r="D486" s="27" t="s">
        <v>1046</v>
      </c>
      <c r="E486" s="35" t="s">
        <v>1047</v>
      </c>
      <c r="F486" s="31">
        <f t="shared" si="30"/>
        <v>1</v>
      </c>
      <c r="G486" s="27" t="s">
        <v>1046</v>
      </c>
      <c r="H486" s="33"/>
      <c r="I486" s="7" t="str">
        <f>IFERROR(__xludf.DUMMYFUNCTION("regexreplace(lower(C486), ""_"", """")"),"anticonvulsants")</f>
        <v>anticonvulsants</v>
      </c>
      <c r="J486" s="9" t="b">
        <f t="shared" si="2"/>
        <v>1</v>
      </c>
      <c r="K486" s="7" t="str">
        <f>IFERROR(__xludf.DUMMYFUNCTION("regexreplace(G486, ""_"", """")"),"anticonvulsants")</f>
        <v>anticonvulsants</v>
      </c>
      <c r="L486" s="36" t="s">
        <v>1932</v>
      </c>
      <c r="M486" s="33"/>
    </row>
    <row r="487">
      <c r="A487" s="33"/>
      <c r="B487" s="27" t="s">
        <v>1038</v>
      </c>
      <c r="C487" s="27" t="s">
        <v>1933</v>
      </c>
      <c r="D487" s="27" t="s">
        <v>1046</v>
      </c>
      <c r="E487" s="30" t="s">
        <v>1050</v>
      </c>
      <c r="F487" s="31">
        <f t="shared" si="30"/>
        <v>2</v>
      </c>
      <c r="G487" s="27" t="s">
        <v>1933</v>
      </c>
      <c r="H487" s="33"/>
      <c r="I487" s="7" t="str">
        <f>IFERROR(__xludf.DUMMYFUNCTION("regexreplace(lower(C487), ""_"", """")"),"anticonvulsants1")</f>
        <v>anticonvulsants1</v>
      </c>
      <c r="J487" s="9" t="b">
        <f t="shared" si="2"/>
        <v>1</v>
      </c>
      <c r="K487" s="7" t="str">
        <f>IFERROR(__xludf.DUMMYFUNCTION("regexreplace(G487, ""_"", """")"),"anticonvulsants1")</f>
        <v>anticonvulsants1</v>
      </c>
      <c r="L487" s="33" t="s">
        <v>1934</v>
      </c>
      <c r="M487" s="33" t="s">
        <v>1935</v>
      </c>
    </row>
    <row r="488">
      <c r="A488" s="33"/>
      <c r="B488" s="27" t="s">
        <v>1038</v>
      </c>
      <c r="C488" s="27" t="s">
        <v>1936</v>
      </c>
      <c r="D488" s="27" t="s">
        <v>1046</v>
      </c>
      <c r="E488" s="30" t="s">
        <v>1053</v>
      </c>
      <c r="F488" s="31">
        <f t="shared" si="30"/>
        <v>2</v>
      </c>
      <c r="G488" s="27" t="s">
        <v>1936</v>
      </c>
      <c r="H488" s="33"/>
      <c r="I488" s="7" t="str">
        <f>IFERROR(__xludf.DUMMYFUNCTION("regexreplace(lower(C488), ""_"", """")"),"anticonvulsants2")</f>
        <v>anticonvulsants2</v>
      </c>
      <c r="J488" s="9" t="b">
        <f t="shared" si="2"/>
        <v>1</v>
      </c>
      <c r="K488" s="7" t="str">
        <f>IFERROR(__xludf.DUMMYFUNCTION("regexreplace(G488, ""_"", """")"),"anticonvulsants2")</f>
        <v>anticonvulsants2</v>
      </c>
      <c r="L488" s="33" t="s">
        <v>1937</v>
      </c>
      <c r="M488" s="33" t="s">
        <v>1938</v>
      </c>
    </row>
    <row r="489">
      <c r="A489" s="33"/>
      <c r="B489" s="27" t="s">
        <v>1038</v>
      </c>
      <c r="C489" s="27" t="s">
        <v>1939</v>
      </c>
      <c r="D489" s="27" t="s">
        <v>1046</v>
      </c>
      <c r="E489" s="30" t="s">
        <v>1056</v>
      </c>
      <c r="F489" s="31">
        <f t="shared" si="30"/>
        <v>2</v>
      </c>
      <c r="G489" s="27" t="s">
        <v>1939</v>
      </c>
      <c r="H489" s="33"/>
      <c r="I489" s="7" t="str">
        <f>IFERROR(__xludf.DUMMYFUNCTION("regexreplace(lower(C489), ""_"", """")"),"anticonvulsants3")</f>
        <v>anticonvulsants3</v>
      </c>
      <c r="J489" s="9" t="b">
        <f t="shared" si="2"/>
        <v>1</v>
      </c>
      <c r="K489" s="7" t="str">
        <f>IFERROR(__xludf.DUMMYFUNCTION("regexreplace(G489, ""_"", """")"),"anticonvulsants3")</f>
        <v>anticonvulsants3</v>
      </c>
      <c r="L489" s="33" t="s">
        <v>1940</v>
      </c>
      <c r="M489" s="33" t="s">
        <v>1941</v>
      </c>
    </row>
    <row r="490">
      <c r="A490" s="33"/>
      <c r="B490" s="27" t="s">
        <v>1038</v>
      </c>
      <c r="C490" s="32" t="s">
        <v>1942</v>
      </c>
      <c r="D490" s="27" t="s">
        <v>1063</v>
      </c>
      <c r="E490" s="30" t="s">
        <v>1943</v>
      </c>
      <c r="F490" s="31">
        <f t="shared" si="30"/>
        <v>1</v>
      </c>
      <c r="G490" s="32" t="s">
        <v>1944</v>
      </c>
      <c r="H490" s="33"/>
      <c r="I490" s="7" t="str">
        <f>IFERROR(__xludf.DUMMYFUNCTION("regexreplace(lower(C490), ""_"", """")"),"analgesicssedatives")</f>
        <v>analgesicssedatives</v>
      </c>
      <c r="J490" s="9" t="b">
        <f t="shared" si="2"/>
        <v>1</v>
      </c>
      <c r="K490" s="7" t="str">
        <f>IFERROR(__xludf.DUMMYFUNCTION("regexreplace(G490, ""_"", """")"),"analgesicssedatives")</f>
        <v>analgesicssedatives</v>
      </c>
      <c r="L490" s="33" t="s">
        <v>1945</v>
      </c>
      <c r="M490" s="33"/>
    </row>
    <row r="491">
      <c r="A491" s="33"/>
      <c r="B491" s="27" t="s">
        <v>1038</v>
      </c>
      <c r="C491" s="27" t="s">
        <v>1946</v>
      </c>
      <c r="D491" s="27" t="s">
        <v>1063</v>
      </c>
      <c r="E491" s="30" t="s">
        <v>1066</v>
      </c>
      <c r="F491" s="31">
        <f t="shared" si="30"/>
        <v>2</v>
      </c>
      <c r="G491" s="27" t="s">
        <v>1947</v>
      </c>
      <c r="H491" s="33"/>
      <c r="I491" s="7" t="str">
        <f>IFERROR(__xludf.DUMMYFUNCTION("regexreplace(lower(C491), ""_"", """")"),"analgesicssedatives1")</f>
        <v>analgesicssedatives1</v>
      </c>
      <c r="J491" s="9" t="b">
        <f t="shared" si="2"/>
        <v>1</v>
      </c>
      <c r="K491" s="7" t="str">
        <f>IFERROR(__xludf.DUMMYFUNCTION("regexreplace(G491, ""_"", """")"),"analgesicssedatives1")</f>
        <v>analgesicssedatives1</v>
      </c>
      <c r="L491" s="33" t="s">
        <v>1948</v>
      </c>
      <c r="M491" s="33" t="s">
        <v>1949</v>
      </c>
    </row>
    <row r="492">
      <c r="A492" s="33"/>
      <c r="B492" s="27" t="s">
        <v>1038</v>
      </c>
      <c r="C492" s="27" t="s">
        <v>1950</v>
      </c>
      <c r="D492" s="27" t="s">
        <v>1063</v>
      </c>
      <c r="E492" s="30" t="s">
        <v>1069</v>
      </c>
      <c r="F492" s="31">
        <f t="shared" si="30"/>
        <v>2</v>
      </c>
      <c r="G492" s="27" t="s">
        <v>1951</v>
      </c>
      <c r="H492" s="33"/>
      <c r="I492" s="7" t="str">
        <f>IFERROR(__xludf.DUMMYFUNCTION("regexreplace(lower(C492), ""_"", """")"),"analgesicssedatives2")</f>
        <v>analgesicssedatives2</v>
      </c>
      <c r="J492" s="9" t="b">
        <f t="shared" si="2"/>
        <v>1</v>
      </c>
      <c r="K492" s="7" t="str">
        <f>IFERROR(__xludf.DUMMYFUNCTION("regexreplace(G492, ""_"", """")"),"analgesicssedatives2")</f>
        <v>analgesicssedatives2</v>
      </c>
      <c r="L492" s="33" t="s">
        <v>1952</v>
      </c>
      <c r="M492" s="33" t="s">
        <v>1953</v>
      </c>
    </row>
    <row r="493">
      <c r="A493" s="33"/>
      <c r="B493" s="27" t="s">
        <v>1038</v>
      </c>
      <c r="C493" s="27" t="s">
        <v>1954</v>
      </c>
      <c r="D493" s="27" t="s">
        <v>1063</v>
      </c>
      <c r="E493" s="30" t="s">
        <v>1072</v>
      </c>
      <c r="F493" s="31">
        <f t="shared" si="30"/>
        <v>2</v>
      </c>
      <c r="G493" s="27" t="s">
        <v>1955</v>
      </c>
      <c r="H493" s="33"/>
      <c r="I493" s="7" t="str">
        <f>IFERROR(__xludf.DUMMYFUNCTION("regexreplace(lower(C493), ""_"", """")"),"analgesicssedatives3")</f>
        <v>analgesicssedatives3</v>
      </c>
      <c r="J493" s="9" t="b">
        <f t="shared" si="2"/>
        <v>1</v>
      </c>
      <c r="K493" s="7" t="str">
        <f>IFERROR(__xludf.DUMMYFUNCTION("regexreplace(G493, ""_"", """")"),"analgesicssedatives3")</f>
        <v>analgesicssedatives3</v>
      </c>
      <c r="L493" s="33" t="s">
        <v>1956</v>
      </c>
      <c r="M493" s="33" t="s">
        <v>1957</v>
      </c>
    </row>
    <row r="494">
      <c r="A494" s="33"/>
      <c r="B494" s="27" t="s">
        <v>1038</v>
      </c>
      <c r="C494" s="27" t="s">
        <v>1075</v>
      </c>
      <c r="D494" s="27" t="s">
        <v>1075</v>
      </c>
      <c r="E494" s="30" t="s">
        <v>1958</v>
      </c>
      <c r="F494" s="31">
        <f t="shared" si="30"/>
        <v>1</v>
      </c>
      <c r="G494" s="27" t="s">
        <v>1075</v>
      </c>
      <c r="H494" s="33"/>
      <c r="I494" s="7" t="str">
        <f>IFERROR(__xludf.DUMMYFUNCTION("regexreplace(lower(C494), ""_"", """")"),"antipyretics")</f>
        <v>antipyretics</v>
      </c>
      <c r="J494" s="9" t="b">
        <f t="shared" si="2"/>
        <v>1</v>
      </c>
      <c r="K494" s="7" t="str">
        <f>IFERROR(__xludf.DUMMYFUNCTION("regexreplace(G494, ""_"", """")"),"antipyretics")</f>
        <v>antipyretics</v>
      </c>
      <c r="L494" s="33" t="s">
        <v>1959</v>
      </c>
      <c r="M494" s="33"/>
    </row>
    <row r="495">
      <c r="A495" s="33"/>
      <c r="B495" s="27" t="s">
        <v>1038</v>
      </c>
      <c r="C495" s="27" t="s">
        <v>1960</v>
      </c>
      <c r="D495" s="27" t="s">
        <v>1075</v>
      </c>
      <c r="E495" s="30" t="s">
        <v>1076</v>
      </c>
      <c r="F495" s="31">
        <f t="shared" si="30"/>
        <v>2</v>
      </c>
      <c r="G495" s="27" t="s">
        <v>1960</v>
      </c>
      <c r="H495" s="33"/>
      <c r="I495" s="7" t="str">
        <f>IFERROR(__xludf.DUMMYFUNCTION("regexreplace(lower(C495), ""_"", """")"),"antipyretics1")</f>
        <v>antipyretics1</v>
      </c>
      <c r="J495" s="9" t="b">
        <f t="shared" si="2"/>
        <v>1</v>
      </c>
      <c r="K495" s="7" t="str">
        <f>IFERROR(__xludf.DUMMYFUNCTION("regexreplace(G495, ""_"", """")"),"antipyretics1")</f>
        <v>antipyretics1</v>
      </c>
      <c r="L495" s="33" t="s">
        <v>1961</v>
      </c>
      <c r="M495" s="33" t="s">
        <v>1962</v>
      </c>
    </row>
    <row r="496">
      <c r="A496" s="33"/>
      <c r="B496" s="27" t="s">
        <v>1038</v>
      </c>
      <c r="C496" s="27" t="s">
        <v>1963</v>
      </c>
      <c r="D496" s="27" t="s">
        <v>1075</v>
      </c>
      <c r="E496" s="30" t="s">
        <v>1079</v>
      </c>
      <c r="F496" s="31">
        <f t="shared" si="30"/>
        <v>2</v>
      </c>
      <c r="G496" s="27" t="s">
        <v>1963</v>
      </c>
      <c r="H496" s="33"/>
      <c r="I496" s="7" t="str">
        <f>IFERROR(__xludf.DUMMYFUNCTION("regexreplace(lower(C496), ""_"", """")"),"antipyretics2")</f>
        <v>antipyretics2</v>
      </c>
      <c r="J496" s="9" t="b">
        <f t="shared" si="2"/>
        <v>1</v>
      </c>
      <c r="K496" s="7" t="str">
        <f>IFERROR(__xludf.DUMMYFUNCTION("regexreplace(G496, ""_"", """")"),"antipyretics2")</f>
        <v>antipyretics2</v>
      </c>
      <c r="L496" s="33" t="s">
        <v>1964</v>
      </c>
      <c r="M496" s="33" t="s">
        <v>1965</v>
      </c>
    </row>
    <row r="497">
      <c r="A497" s="33"/>
      <c r="B497" s="27" t="s">
        <v>1038</v>
      </c>
      <c r="C497" s="27" t="s">
        <v>1966</v>
      </c>
      <c r="D497" s="27" t="s">
        <v>1075</v>
      </c>
      <c r="E497" s="30" t="s">
        <v>1082</v>
      </c>
      <c r="F497" s="31">
        <f t="shared" si="30"/>
        <v>2</v>
      </c>
      <c r="G497" s="27" t="s">
        <v>1966</v>
      </c>
      <c r="H497" s="33"/>
      <c r="I497" s="7" t="str">
        <f>IFERROR(__xludf.DUMMYFUNCTION("regexreplace(lower(C497), ""_"", """")"),"antipyretics3")</f>
        <v>antipyretics3</v>
      </c>
      <c r="J497" s="9" t="b">
        <f t="shared" si="2"/>
        <v>1</v>
      </c>
      <c r="K497" s="7" t="str">
        <f>IFERROR(__xludf.DUMMYFUNCTION("regexreplace(G497, ""_"", """")"),"antipyretics3")</f>
        <v>antipyretics3</v>
      </c>
      <c r="L497" s="33" t="s">
        <v>1967</v>
      </c>
      <c r="M497" s="33" t="s">
        <v>1968</v>
      </c>
    </row>
    <row r="498">
      <c r="A498" s="33"/>
      <c r="B498" s="27" t="s">
        <v>1038</v>
      </c>
      <c r="C498" s="27" t="s">
        <v>1085</v>
      </c>
      <c r="D498" s="27" t="s">
        <v>1085</v>
      </c>
      <c r="E498" s="33"/>
      <c r="F498" s="31">
        <f t="shared" si="30"/>
        <v>1</v>
      </c>
      <c r="G498" s="27" t="s">
        <v>1085</v>
      </c>
      <c r="H498" s="33"/>
      <c r="I498" s="7" t="str">
        <f>IFERROR(__xludf.DUMMYFUNCTION("regexreplace(lower(C498), ""_"", """")"),"paralytics")</f>
        <v>paralytics</v>
      </c>
      <c r="J498" s="9" t="b">
        <f t="shared" si="2"/>
        <v>1</v>
      </c>
      <c r="K498" s="7" t="str">
        <f>IFERROR(__xludf.DUMMYFUNCTION("regexreplace(G498, ""_"", """")"),"paralytics")</f>
        <v>paralytics</v>
      </c>
      <c r="L498" s="33" t="s">
        <v>1969</v>
      </c>
      <c r="M498" s="33"/>
    </row>
    <row r="499">
      <c r="A499" s="33"/>
      <c r="B499" s="27" t="s">
        <v>1038</v>
      </c>
      <c r="C499" s="27" t="s">
        <v>1970</v>
      </c>
      <c r="D499" s="27" t="s">
        <v>1085</v>
      </c>
      <c r="E499" s="30" t="s">
        <v>1086</v>
      </c>
      <c r="F499" s="31">
        <f t="shared" si="30"/>
        <v>2</v>
      </c>
      <c r="G499" s="27" t="s">
        <v>1970</v>
      </c>
      <c r="H499" s="33"/>
      <c r="I499" s="7" t="str">
        <f>IFERROR(__xludf.DUMMYFUNCTION("regexreplace(lower(C499), ""_"", """")"),"paralytics1")</f>
        <v>paralytics1</v>
      </c>
      <c r="J499" s="9" t="b">
        <f t="shared" si="2"/>
        <v>1</v>
      </c>
      <c r="K499" s="7" t="str">
        <f>IFERROR(__xludf.DUMMYFUNCTION("regexreplace(G499, ""_"", """")"),"paralytics1")</f>
        <v>paralytics1</v>
      </c>
      <c r="L499" s="33" t="s">
        <v>1971</v>
      </c>
      <c r="M499" s="33" t="s">
        <v>1972</v>
      </c>
    </row>
    <row r="500">
      <c r="A500" s="33"/>
      <c r="B500" s="27" t="s">
        <v>1038</v>
      </c>
      <c r="C500" s="27" t="s">
        <v>1973</v>
      </c>
      <c r="D500" s="27" t="s">
        <v>1085</v>
      </c>
      <c r="E500" s="30" t="s">
        <v>1089</v>
      </c>
      <c r="F500" s="31">
        <f t="shared" si="30"/>
        <v>2</v>
      </c>
      <c r="G500" s="27" t="s">
        <v>1973</v>
      </c>
      <c r="H500" s="33"/>
      <c r="I500" s="7" t="str">
        <f>IFERROR(__xludf.DUMMYFUNCTION("regexreplace(lower(C500), ""_"", """")"),"paralytics2")</f>
        <v>paralytics2</v>
      </c>
      <c r="J500" s="9" t="b">
        <f t="shared" si="2"/>
        <v>1</v>
      </c>
      <c r="K500" s="7" t="str">
        <f>IFERROR(__xludf.DUMMYFUNCTION("regexreplace(G500, ""_"", """")"),"paralytics2")</f>
        <v>paralytics2</v>
      </c>
      <c r="L500" s="33" t="s">
        <v>1974</v>
      </c>
      <c r="M500" s="33" t="s">
        <v>1975</v>
      </c>
    </row>
    <row r="501">
      <c r="A501" s="33"/>
      <c r="B501" s="27" t="s">
        <v>1038</v>
      </c>
      <c r="C501" s="27" t="s">
        <v>1976</v>
      </c>
      <c r="D501" s="27" t="s">
        <v>1085</v>
      </c>
      <c r="E501" s="30" t="s">
        <v>1092</v>
      </c>
      <c r="F501" s="31">
        <f t="shared" si="30"/>
        <v>2</v>
      </c>
      <c r="G501" s="27" t="s">
        <v>1976</v>
      </c>
      <c r="H501" s="33"/>
      <c r="I501" s="7" t="str">
        <f>IFERROR(__xludf.DUMMYFUNCTION("regexreplace(lower(C501), ""_"", """")"),"paralytics3")</f>
        <v>paralytics3</v>
      </c>
      <c r="J501" s="9" t="b">
        <f t="shared" si="2"/>
        <v>1</v>
      </c>
      <c r="K501" s="7" t="str">
        <f>IFERROR(__xludf.DUMMYFUNCTION("regexreplace(G501, ""_"", """")"),"paralytics3")</f>
        <v>paralytics3</v>
      </c>
      <c r="L501" s="33" t="s">
        <v>1977</v>
      </c>
      <c r="M501" s="33" t="s">
        <v>1978</v>
      </c>
    </row>
    <row r="502">
      <c r="A502" s="33"/>
      <c r="B502" s="27" t="s">
        <v>1038</v>
      </c>
      <c r="C502" s="27" t="s">
        <v>1979</v>
      </c>
      <c r="D502" s="27" t="s">
        <v>154</v>
      </c>
      <c r="E502" s="33" t="s">
        <v>1095</v>
      </c>
      <c r="F502" s="31">
        <f t="shared" si="30"/>
        <v>2</v>
      </c>
      <c r="G502" s="27" t="s">
        <v>1980</v>
      </c>
      <c r="H502" s="33"/>
      <c r="I502" s="7" t="str">
        <f>IFERROR(__xludf.DUMMYFUNCTION("regexreplace(lower(C502), ""_"", """")"),"othermedfluidintakeccperkg")</f>
        <v>othermedfluidintakeccperkg</v>
      </c>
      <c r="J502" s="9" t="b">
        <f t="shared" si="2"/>
        <v>1</v>
      </c>
      <c r="K502" s="7" t="str">
        <f>IFERROR(__xludf.DUMMYFUNCTION("regexreplace(G502, ""_"", """")"),"othermedfluidintakeccperkg")</f>
        <v>othermedfluidintakeccperkg</v>
      </c>
      <c r="L502" s="33" t="s">
        <v>1981</v>
      </c>
      <c r="M502" s="33" t="s">
        <v>1982</v>
      </c>
    </row>
    <row r="503">
      <c r="A503" s="33"/>
      <c r="B503" s="27" t="s">
        <v>1038</v>
      </c>
      <c r="C503" s="27" t="s">
        <v>1983</v>
      </c>
      <c r="D503" s="27" t="s">
        <v>154</v>
      </c>
      <c r="E503" s="33" t="s">
        <v>1098</v>
      </c>
      <c r="F503" s="31">
        <f t="shared" si="30"/>
        <v>2</v>
      </c>
      <c r="G503" s="27" t="s">
        <v>1984</v>
      </c>
      <c r="H503" s="33"/>
      <c r="I503" s="7" t="str">
        <f>IFERROR(__xludf.DUMMYFUNCTION("regexreplace(lower(C503), ""_"", """")"),"othermedurineoutputccperkg")</f>
        <v>othermedurineoutputccperkg</v>
      </c>
      <c r="J503" s="9" t="b">
        <f t="shared" si="2"/>
        <v>1</v>
      </c>
      <c r="K503" s="7" t="str">
        <f>IFERROR(__xludf.DUMMYFUNCTION("regexreplace(G503, ""_"", """")"),"othermedurineoutputccperkg")</f>
        <v>othermedurineoutputccperkg</v>
      </c>
      <c r="L503" s="33" t="s">
        <v>1985</v>
      </c>
      <c r="M503" s="33" t="s">
        <v>1986</v>
      </c>
    </row>
    <row r="504">
      <c r="A504" s="12"/>
      <c r="B504" s="12"/>
      <c r="C504" s="13"/>
      <c r="D504" s="12"/>
      <c r="E504" s="12"/>
      <c r="F504" s="12"/>
      <c r="G504" s="12"/>
      <c r="H504" s="12"/>
      <c r="I504" s="13" t="str">
        <f>IFERROR(__xludf.DUMMYFUNCTION("regexreplace(lower(C504), ""_"", """")"),"")</f>
        <v/>
      </c>
      <c r="J504" s="14" t="str">
        <f t="shared" si="2"/>
        <v/>
      </c>
      <c r="K504" s="13" t="str">
        <f>IFERROR(__xludf.DUMMYFUNCTION("regexreplace(G504, ""_"", """")"),"")</f>
        <v/>
      </c>
      <c r="L504" s="12"/>
      <c r="M504" s="12"/>
    </row>
    <row r="505">
      <c r="A505" s="12"/>
      <c r="B505" s="12"/>
      <c r="C505" s="13"/>
      <c r="D505" s="12"/>
      <c r="E505" s="12"/>
      <c r="F505" s="12"/>
      <c r="G505" s="12"/>
      <c r="H505" s="12"/>
      <c r="I505" s="13" t="str">
        <f>IFERROR(__xludf.DUMMYFUNCTION("regexreplace(lower(C505), ""_"", """")"),"")</f>
        <v/>
      </c>
      <c r="J505" s="14" t="str">
        <f t="shared" si="2"/>
        <v/>
      </c>
      <c r="K505" s="13" t="str">
        <f>IFERROR(__xludf.DUMMYFUNCTION("regexreplace(G505, ""_"", """")"),"")</f>
        <v/>
      </c>
      <c r="L505" s="12"/>
      <c r="M505" s="12"/>
    </row>
    <row r="506">
      <c r="A506" s="27" t="s">
        <v>1326</v>
      </c>
      <c r="B506" s="27" t="s">
        <v>1100</v>
      </c>
      <c r="C506" s="32" t="s">
        <v>1987</v>
      </c>
      <c r="D506" s="27" t="s">
        <v>34</v>
      </c>
      <c r="E506" s="33" t="s">
        <v>1988</v>
      </c>
      <c r="F506" s="31">
        <f t="shared" ref="F506:F542" si="31">counta(L506:M506)</f>
        <v>2</v>
      </c>
      <c r="G506" s="32" t="s">
        <v>1989</v>
      </c>
      <c r="H506" s="33"/>
      <c r="I506" s="7" t="str">
        <f>IFERROR(__xludf.DUMMYFUNCTION("regexreplace(lower(C506), ""_"", """")"),"imagingnumber")</f>
        <v>imagingnumber</v>
      </c>
      <c r="J506" s="9" t="b">
        <f t="shared" si="2"/>
        <v>1</v>
      </c>
      <c r="K506" s="7" t="str">
        <f>IFERROR(__xludf.DUMMYFUNCTION("regexreplace(G506, ""_"", """")"),"imagingnumber")</f>
        <v>imagingnumber</v>
      </c>
      <c r="L506" s="33" t="s">
        <v>1990</v>
      </c>
      <c r="M506" s="33" t="s">
        <v>1991</v>
      </c>
    </row>
    <row r="507">
      <c r="A507" s="33"/>
      <c r="B507" s="27" t="s">
        <v>1100</v>
      </c>
      <c r="C507" s="27" t="s">
        <v>1992</v>
      </c>
      <c r="D507" s="27" t="s">
        <v>43</v>
      </c>
      <c r="E507" s="33" t="s">
        <v>1102</v>
      </c>
      <c r="F507" s="31">
        <f t="shared" si="31"/>
        <v>2</v>
      </c>
      <c r="G507" s="27" t="s">
        <v>1993</v>
      </c>
      <c r="H507" s="33"/>
      <c r="I507" s="7" t="str">
        <f>IFERROR(__xludf.DUMMYFUNCTION("regexreplace(lower(C507), ""_"", """")"),"headsonogram")</f>
        <v>headsonogram</v>
      </c>
      <c r="J507" s="9" t="b">
        <f t="shared" si="2"/>
        <v>1</v>
      </c>
      <c r="K507" s="7" t="str">
        <f>IFERROR(__xludf.DUMMYFUNCTION("regexreplace(G507, ""_"", """")"),"headsonogram")</f>
        <v>headsonogram</v>
      </c>
      <c r="L507" s="33" t="s">
        <v>1994</v>
      </c>
      <c r="M507" s="33" t="s">
        <v>1995</v>
      </c>
    </row>
    <row r="508">
      <c r="A508" s="33"/>
      <c r="B508" s="27" t="s">
        <v>1100</v>
      </c>
      <c r="C508" s="27" t="s">
        <v>1996</v>
      </c>
      <c r="D508" s="27" t="s">
        <v>29</v>
      </c>
      <c r="E508" s="33" t="s">
        <v>1105</v>
      </c>
      <c r="F508" s="31">
        <f t="shared" si="31"/>
        <v>2</v>
      </c>
      <c r="G508" s="27" t="s">
        <v>1997</v>
      </c>
      <c r="H508" s="33"/>
      <c r="I508" s="7" t="str">
        <f>IFERROR(__xludf.DUMMYFUNCTION("regexreplace(lower(C508), ""_"", """")"),"headsonogramdate")</f>
        <v>headsonogramdate</v>
      </c>
      <c r="J508" s="9" t="b">
        <f t="shared" si="2"/>
        <v>1</v>
      </c>
      <c r="K508" s="7" t="str">
        <f>IFERROR(__xludf.DUMMYFUNCTION("regexreplace(G508, ""_"", """")"),"headsonogramdate")</f>
        <v>headsonogramdate</v>
      </c>
      <c r="L508" s="33" t="s">
        <v>1998</v>
      </c>
      <c r="M508" s="33" t="s">
        <v>1999</v>
      </c>
    </row>
    <row r="509">
      <c r="A509" s="33"/>
      <c r="B509" s="27" t="s">
        <v>1100</v>
      </c>
      <c r="C509" s="27" t="s">
        <v>2000</v>
      </c>
      <c r="D509" s="27" t="s">
        <v>148</v>
      </c>
      <c r="E509" s="33" t="s">
        <v>1108</v>
      </c>
      <c r="F509" s="31">
        <f t="shared" si="31"/>
        <v>2</v>
      </c>
      <c r="G509" s="27" t="s">
        <v>2001</v>
      </c>
      <c r="H509" s="33"/>
      <c r="I509" s="7" t="str">
        <f>IFERROR(__xludf.DUMMYFUNCTION("regexreplace(lower(C509), ""_"", """")"),"headsonogramtime")</f>
        <v>headsonogramtime</v>
      </c>
      <c r="J509" s="9" t="b">
        <f t="shared" si="2"/>
        <v>1</v>
      </c>
      <c r="K509" s="7" t="str">
        <f>IFERROR(__xludf.DUMMYFUNCTION("regexreplace(G509, ""_"", """")"),"headsonogramtime")</f>
        <v>headsonogramtime</v>
      </c>
      <c r="L509" s="33" t="s">
        <v>2002</v>
      </c>
      <c r="M509" s="33" t="s">
        <v>2003</v>
      </c>
    </row>
    <row r="510">
      <c r="A510" s="33"/>
      <c r="B510" s="27" t="s">
        <v>1100</v>
      </c>
      <c r="C510" s="27" t="s">
        <v>2004</v>
      </c>
      <c r="D510" s="27" t="s">
        <v>1111</v>
      </c>
      <c r="E510" s="33" t="s">
        <v>1112</v>
      </c>
      <c r="F510" s="31">
        <f t="shared" si="31"/>
        <v>2</v>
      </c>
      <c r="G510" s="27" t="s">
        <v>2005</v>
      </c>
      <c r="H510" s="33"/>
      <c r="I510" s="7" t="str">
        <f>IFERROR(__xludf.DUMMYFUNCTION("regexreplace(lower(C510), ""_"", """")"),"headsonogramresult1")</f>
        <v>headsonogramresult1</v>
      </c>
      <c r="J510" s="9" t="b">
        <f t="shared" si="2"/>
        <v>1</v>
      </c>
      <c r="K510" s="7" t="str">
        <f>IFERROR(__xludf.DUMMYFUNCTION("regexreplace(G510, ""_"", """")"),"headsonogramresult1")</f>
        <v>headsonogramresult1</v>
      </c>
      <c r="L510" s="33" t="s">
        <v>2006</v>
      </c>
      <c r="M510" s="33" t="s">
        <v>2007</v>
      </c>
    </row>
    <row r="511">
      <c r="A511" s="33"/>
      <c r="B511" s="27" t="s">
        <v>1100</v>
      </c>
      <c r="C511" s="27" t="s">
        <v>2008</v>
      </c>
      <c r="D511" s="27" t="s">
        <v>1111</v>
      </c>
      <c r="E511" s="33" t="s">
        <v>1115</v>
      </c>
      <c r="F511" s="31">
        <f t="shared" si="31"/>
        <v>2</v>
      </c>
      <c r="G511" s="27" t="s">
        <v>2009</v>
      </c>
      <c r="H511" s="33"/>
      <c r="I511" s="7" t="str">
        <f>IFERROR(__xludf.DUMMYFUNCTION("regexreplace(lower(C511), ""_"", """")"),"headsonogramresult2")</f>
        <v>headsonogramresult2</v>
      </c>
      <c r="J511" s="9" t="b">
        <f t="shared" si="2"/>
        <v>1</v>
      </c>
      <c r="K511" s="7" t="str">
        <f>IFERROR(__xludf.DUMMYFUNCTION("regexreplace(G511, ""_"", """")"),"headsonogramresult2")</f>
        <v>headsonogramresult2</v>
      </c>
      <c r="L511" s="33" t="s">
        <v>2010</v>
      </c>
      <c r="M511" s="33" t="s">
        <v>2011</v>
      </c>
    </row>
    <row r="512">
      <c r="A512" s="33"/>
      <c r="B512" s="27" t="s">
        <v>1100</v>
      </c>
      <c r="C512" s="27" t="s">
        <v>2012</v>
      </c>
      <c r="D512" s="27" t="s">
        <v>1111</v>
      </c>
      <c r="E512" s="33" t="s">
        <v>1118</v>
      </c>
      <c r="F512" s="31">
        <f t="shared" si="31"/>
        <v>2</v>
      </c>
      <c r="G512" s="27" t="s">
        <v>2013</v>
      </c>
      <c r="H512" s="33"/>
      <c r="I512" s="7" t="str">
        <f>IFERROR(__xludf.DUMMYFUNCTION("regexreplace(lower(C512), ""_"", """")"),"headsonogramresult3")</f>
        <v>headsonogramresult3</v>
      </c>
      <c r="J512" s="9" t="b">
        <f t="shared" si="2"/>
        <v>1</v>
      </c>
      <c r="K512" s="7" t="str">
        <f>IFERROR(__xludf.DUMMYFUNCTION("regexreplace(G512, ""_"", """")"),"headsonogramresult3")</f>
        <v>headsonogramresult3</v>
      </c>
      <c r="L512" s="33" t="s">
        <v>2014</v>
      </c>
      <c r="M512" s="33" t="s">
        <v>2015</v>
      </c>
    </row>
    <row r="513">
      <c r="A513" s="33"/>
      <c r="B513" s="27" t="s">
        <v>1100</v>
      </c>
      <c r="C513" s="27" t="s">
        <v>2016</v>
      </c>
      <c r="D513" s="27" t="s">
        <v>1111</v>
      </c>
      <c r="E513" s="33" t="s">
        <v>1121</v>
      </c>
      <c r="F513" s="31">
        <f t="shared" si="31"/>
        <v>2</v>
      </c>
      <c r="G513" s="27" t="s">
        <v>2017</v>
      </c>
      <c r="H513" s="33"/>
      <c r="I513" s="7" t="str">
        <f>IFERROR(__xludf.DUMMYFUNCTION("regexreplace(lower(C513), ""_"", """")"),"headsonogramresult4")</f>
        <v>headsonogramresult4</v>
      </c>
      <c r="J513" s="9" t="b">
        <f t="shared" si="2"/>
        <v>1</v>
      </c>
      <c r="K513" s="7" t="str">
        <f>IFERROR(__xludf.DUMMYFUNCTION("regexreplace(G513, ""_"", """")"),"headsonogramresult4")</f>
        <v>headsonogramresult4</v>
      </c>
      <c r="L513" s="33" t="s">
        <v>2018</v>
      </c>
      <c r="M513" s="33" t="s">
        <v>2019</v>
      </c>
    </row>
    <row r="514">
      <c r="A514" s="33"/>
      <c r="B514" s="27" t="s">
        <v>1100</v>
      </c>
      <c r="C514" s="27" t="s">
        <v>2020</v>
      </c>
      <c r="D514" s="27" t="s">
        <v>1111</v>
      </c>
      <c r="E514" s="33" t="s">
        <v>1124</v>
      </c>
      <c r="F514" s="31">
        <f t="shared" si="31"/>
        <v>2</v>
      </c>
      <c r="G514" s="27" t="s">
        <v>2021</v>
      </c>
      <c r="H514" s="33"/>
      <c r="I514" s="7" t="str">
        <f>IFERROR(__xludf.DUMMYFUNCTION("regexreplace(lower(C514), ""_"", """")"),"headsonogramresult5")</f>
        <v>headsonogramresult5</v>
      </c>
      <c r="J514" s="9" t="b">
        <f t="shared" si="2"/>
        <v>1</v>
      </c>
      <c r="K514" s="7" t="str">
        <f>IFERROR(__xludf.DUMMYFUNCTION("regexreplace(G514, ""_"", """")"),"headsonogramresult5")</f>
        <v>headsonogramresult5</v>
      </c>
      <c r="L514" s="33" t="s">
        <v>2022</v>
      </c>
      <c r="M514" s="33" t="s">
        <v>2023</v>
      </c>
    </row>
    <row r="515">
      <c r="A515" s="33"/>
      <c r="B515" s="27" t="s">
        <v>1100</v>
      </c>
      <c r="C515" s="27" t="s">
        <v>2024</v>
      </c>
      <c r="D515" s="27" t="s">
        <v>1111</v>
      </c>
      <c r="E515" s="33" t="s">
        <v>1127</v>
      </c>
      <c r="F515" s="31">
        <f t="shared" si="31"/>
        <v>2</v>
      </c>
      <c r="G515" s="27" t="s">
        <v>2025</v>
      </c>
      <c r="H515" s="33"/>
      <c r="I515" s="7" t="str">
        <f>IFERROR(__xludf.DUMMYFUNCTION("regexreplace(lower(C515), ""_"", """")"),"headsonogramresult6")</f>
        <v>headsonogramresult6</v>
      </c>
      <c r="J515" s="9" t="b">
        <f t="shared" si="2"/>
        <v>1</v>
      </c>
      <c r="K515" s="7" t="str">
        <f>IFERROR(__xludf.DUMMYFUNCTION("regexreplace(G515, ""_"", """")"),"headsonogramresult6")</f>
        <v>headsonogramresult6</v>
      </c>
      <c r="L515" s="33" t="s">
        <v>2026</v>
      </c>
      <c r="M515" s="33" t="s">
        <v>2027</v>
      </c>
    </row>
    <row r="516">
      <c r="A516" s="33"/>
      <c r="B516" s="27" t="s">
        <v>1100</v>
      </c>
      <c r="C516" s="27" t="s">
        <v>2028</v>
      </c>
      <c r="D516" s="27" t="s">
        <v>1111</v>
      </c>
      <c r="E516" s="33" t="s">
        <v>1130</v>
      </c>
      <c r="F516" s="31">
        <f t="shared" si="31"/>
        <v>2</v>
      </c>
      <c r="G516" s="27" t="s">
        <v>2029</v>
      </c>
      <c r="H516" s="33"/>
      <c r="I516" s="7" t="str">
        <f>IFERROR(__xludf.DUMMYFUNCTION("regexreplace(lower(C516), ""_"", """")"),"headsonogramresult7")</f>
        <v>headsonogramresult7</v>
      </c>
      <c r="J516" s="9" t="b">
        <f t="shared" si="2"/>
        <v>1</v>
      </c>
      <c r="K516" s="7" t="str">
        <f>IFERROR(__xludf.DUMMYFUNCTION("regexreplace(G516, ""_"", """")"),"headsonogramresult7")</f>
        <v>headsonogramresult7</v>
      </c>
      <c r="L516" s="33" t="s">
        <v>2030</v>
      </c>
      <c r="M516" s="33" t="s">
        <v>2031</v>
      </c>
    </row>
    <row r="517">
      <c r="A517" s="33"/>
      <c r="B517" s="27" t="s">
        <v>1100</v>
      </c>
      <c r="C517" s="27" t="s">
        <v>2032</v>
      </c>
      <c r="D517" s="27" t="s">
        <v>1111</v>
      </c>
      <c r="E517" s="33" t="s">
        <v>1133</v>
      </c>
      <c r="F517" s="31">
        <f t="shared" si="31"/>
        <v>2</v>
      </c>
      <c r="G517" s="27" t="s">
        <v>2033</v>
      </c>
      <c r="H517" s="33"/>
      <c r="I517" s="7" t="str">
        <f>IFERROR(__xludf.DUMMYFUNCTION("regexreplace(lower(C517), ""_"", """")"),"headsonogramresult8")</f>
        <v>headsonogramresult8</v>
      </c>
      <c r="J517" s="9" t="b">
        <f t="shared" si="2"/>
        <v>1</v>
      </c>
      <c r="K517" s="7" t="str">
        <f>IFERROR(__xludf.DUMMYFUNCTION("regexreplace(G517, ""_"", """")"),"headsonogramresult8")</f>
        <v>headsonogramresult8</v>
      </c>
      <c r="L517" s="33" t="s">
        <v>2034</v>
      </c>
      <c r="M517" s="33" t="s">
        <v>2035</v>
      </c>
    </row>
    <row r="518">
      <c r="A518" s="33"/>
      <c r="B518" s="27" t="s">
        <v>1100</v>
      </c>
      <c r="C518" s="27" t="s">
        <v>2036</v>
      </c>
      <c r="D518" s="27" t="s">
        <v>19</v>
      </c>
      <c r="E518" s="33" t="s">
        <v>1136</v>
      </c>
      <c r="F518" s="31">
        <f t="shared" si="31"/>
        <v>2</v>
      </c>
      <c r="G518" s="27" t="s">
        <v>2037</v>
      </c>
      <c r="H518" s="33"/>
      <c r="I518" s="7" t="str">
        <f>IFERROR(__xludf.DUMMYFUNCTION("regexreplace(lower(C518), ""_"", """")"),"headsonogramresulttext")</f>
        <v>headsonogramresulttext</v>
      </c>
      <c r="J518" s="9" t="b">
        <f t="shared" si="2"/>
        <v>1</v>
      </c>
      <c r="K518" s="7" t="str">
        <f>IFERROR(__xludf.DUMMYFUNCTION("regexreplace(G518, ""_"", """")"),"headsonogramresulttext")</f>
        <v>headsonogramresulttext</v>
      </c>
      <c r="L518" s="33" t="s">
        <v>2038</v>
      </c>
      <c r="M518" s="33" t="s">
        <v>2039</v>
      </c>
    </row>
    <row r="519">
      <c r="A519" s="33"/>
      <c r="B519" s="27" t="s">
        <v>1100</v>
      </c>
      <c r="C519" s="27" t="s">
        <v>2040</v>
      </c>
      <c r="D519" s="27" t="s">
        <v>43</v>
      </c>
      <c r="E519" s="33" t="s">
        <v>1139</v>
      </c>
      <c r="F519" s="31">
        <f t="shared" si="31"/>
        <v>2</v>
      </c>
      <c r="G519" s="27" t="s">
        <v>2041</v>
      </c>
      <c r="H519" s="33"/>
      <c r="I519" s="7" t="str">
        <f>IFERROR(__xludf.DUMMYFUNCTION("regexreplace(lower(C519), ""_"", """")"),"headct")</f>
        <v>headct</v>
      </c>
      <c r="J519" s="9" t="b">
        <f t="shared" si="2"/>
        <v>1</v>
      </c>
      <c r="K519" s="7" t="str">
        <f>IFERROR(__xludf.DUMMYFUNCTION("regexreplace(G519, ""_"", """")"),"headct")</f>
        <v>headct</v>
      </c>
      <c r="L519" s="33" t="s">
        <v>2042</v>
      </c>
      <c r="M519" s="33" t="s">
        <v>2043</v>
      </c>
    </row>
    <row r="520">
      <c r="A520" s="33"/>
      <c r="B520" s="27" t="s">
        <v>1100</v>
      </c>
      <c r="C520" s="27" t="s">
        <v>2044</v>
      </c>
      <c r="D520" s="27" t="s">
        <v>29</v>
      </c>
      <c r="E520" s="33" t="s">
        <v>1142</v>
      </c>
      <c r="F520" s="31">
        <f t="shared" si="31"/>
        <v>2</v>
      </c>
      <c r="G520" s="27" t="s">
        <v>2045</v>
      </c>
      <c r="H520" s="33"/>
      <c r="I520" s="7" t="str">
        <f>IFERROR(__xludf.DUMMYFUNCTION("regexreplace(lower(C520), ""_"", """")"),"headctdate")</f>
        <v>headctdate</v>
      </c>
      <c r="J520" s="9" t="b">
        <f t="shared" si="2"/>
        <v>1</v>
      </c>
      <c r="K520" s="7" t="str">
        <f>IFERROR(__xludf.DUMMYFUNCTION("regexreplace(G520, ""_"", """")"),"headctdate")</f>
        <v>headctdate</v>
      </c>
      <c r="L520" s="33" t="s">
        <v>2046</v>
      </c>
      <c r="M520" s="33" t="s">
        <v>2047</v>
      </c>
    </row>
    <row r="521">
      <c r="A521" s="33"/>
      <c r="B521" s="27" t="s">
        <v>1100</v>
      </c>
      <c r="C521" s="27" t="s">
        <v>2048</v>
      </c>
      <c r="D521" s="27" t="s">
        <v>148</v>
      </c>
      <c r="E521" s="33" t="s">
        <v>1145</v>
      </c>
      <c r="F521" s="31">
        <f t="shared" si="31"/>
        <v>2</v>
      </c>
      <c r="G521" s="27" t="s">
        <v>2049</v>
      </c>
      <c r="H521" s="33"/>
      <c r="I521" s="7" t="str">
        <f>IFERROR(__xludf.DUMMYFUNCTION("regexreplace(lower(C521), ""_"", """")"),"headcttime")</f>
        <v>headcttime</v>
      </c>
      <c r="J521" s="9" t="b">
        <f t="shared" si="2"/>
        <v>1</v>
      </c>
      <c r="K521" s="7" t="str">
        <f>IFERROR(__xludf.DUMMYFUNCTION("regexreplace(G521, ""_"", """")"),"headcttime")</f>
        <v>headcttime</v>
      </c>
      <c r="L521" s="33" t="s">
        <v>2050</v>
      </c>
      <c r="M521" s="33" t="s">
        <v>2051</v>
      </c>
    </row>
    <row r="522">
      <c r="A522" s="33"/>
      <c r="B522" s="27" t="s">
        <v>1100</v>
      </c>
      <c r="C522" s="27" t="s">
        <v>2052</v>
      </c>
      <c r="D522" s="27" t="s">
        <v>1111</v>
      </c>
      <c r="E522" s="33" t="s">
        <v>1148</v>
      </c>
      <c r="F522" s="31">
        <f t="shared" si="31"/>
        <v>2</v>
      </c>
      <c r="G522" s="27" t="s">
        <v>2053</v>
      </c>
      <c r="H522" s="33"/>
      <c r="I522" s="7" t="str">
        <f>IFERROR(__xludf.DUMMYFUNCTION("regexreplace(lower(C522), ""_"", """")"),"headctresult1")</f>
        <v>headctresult1</v>
      </c>
      <c r="J522" s="9" t="b">
        <f t="shared" si="2"/>
        <v>1</v>
      </c>
      <c r="K522" s="7" t="str">
        <f>IFERROR(__xludf.DUMMYFUNCTION("regexreplace(G522, ""_"", """")"),"headctresult1")</f>
        <v>headctresult1</v>
      </c>
      <c r="L522" s="33" t="s">
        <v>2054</v>
      </c>
      <c r="M522" s="33" t="s">
        <v>2055</v>
      </c>
    </row>
    <row r="523">
      <c r="A523" s="33"/>
      <c r="B523" s="27" t="s">
        <v>1100</v>
      </c>
      <c r="C523" s="27" t="s">
        <v>2056</v>
      </c>
      <c r="D523" s="27" t="s">
        <v>1111</v>
      </c>
      <c r="E523" s="33" t="s">
        <v>1151</v>
      </c>
      <c r="F523" s="31">
        <f t="shared" si="31"/>
        <v>2</v>
      </c>
      <c r="G523" s="27" t="s">
        <v>2057</v>
      </c>
      <c r="H523" s="33"/>
      <c r="I523" s="7" t="str">
        <f>IFERROR(__xludf.DUMMYFUNCTION("regexreplace(lower(C523), ""_"", """")"),"headctresult2")</f>
        <v>headctresult2</v>
      </c>
      <c r="J523" s="9" t="b">
        <f t="shared" si="2"/>
        <v>1</v>
      </c>
      <c r="K523" s="7" t="str">
        <f>IFERROR(__xludf.DUMMYFUNCTION("regexreplace(G523, ""_"", """")"),"headctresult2")</f>
        <v>headctresult2</v>
      </c>
      <c r="L523" s="33" t="s">
        <v>2058</v>
      </c>
      <c r="M523" s="33" t="s">
        <v>2059</v>
      </c>
    </row>
    <row r="524">
      <c r="A524" s="33"/>
      <c r="B524" s="27" t="s">
        <v>1100</v>
      </c>
      <c r="C524" s="27" t="s">
        <v>2060</v>
      </c>
      <c r="D524" s="27" t="s">
        <v>1111</v>
      </c>
      <c r="E524" s="33" t="s">
        <v>1154</v>
      </c>
      <c r="F524" s="31">
        <f t="shared" si="31"/>
        <v>2</v>
      </c>
      <c r="G524" s="27" t="s">
        <v>2061</v>
      </c>
      <c r="H524" s="33"/>
      <c r="I524" s="7" t="str">
        <f>IFERROR(__xludf.DUMMYFUNCTION("regexreplace(lower(C524), ""_"", """")"),"headctresult3")</f>
        <v>headctresult3</v>
      </c>
      <c r="J524" s="9" t="b">
        <f t="shared" si="2"/>
        <v>1</v>
      </c>
      <c r="K524" s="7" t="str">
        <f>IFERROR(__xludf.DUMMYFUNCTION("regexreplace(G524, ""_"", """")"),"headctresult3")</f>
        <v>headctresult3</v>
      </c>
      <c r="L524" s="33" t="s">
        <v>2062</v>
      </c>
      <c r="M524" s="33" t="s">
        <v>2063</v>
      </c>
    </row>
    <row r="525">
      <c r="A525" s="33"/>
      <c r="B525" s="27" t="s">
        <v>1100</v>
      </c>
      <c r="C525" s="27" t="s">
        <v>2064</v>
      </c>
      <c r="D525" s="27" t="s">
        <v>1111</v>
      </c>
      <c r="E525" s="33" t="s">
        <v>1157</v>
      </c>
      <c r="F525" s="31">
        <f t="shared" si="31"/>
        <v>2</v>
      </c>
      <c r="G525" s="27" t="s">
        <v>2065</v>
      </c>
      <c r="H525" s="33"/>
      <c r="I525" s="7" t="str">
        <f>IFERROR(__xludf.DUMMYFUNCTION("regexreplace(lower(C525), ""_"", """")"),"headctresult4")</f>
        <v>headctresult4</v>
      </c>
      <c r="J525" s="9" t="b">
        <f t="shared" si="2"/>
        <v>1</v>
      </c>
      <c r="K525" s="7" t="str">
        <f>IFERROR(__xludf.DUMMYFUNCTION("regexreplace(G525, ""_"", """")"),"headctresult4")</f>
        <v>headctresult4</v>
      </c>
      <c r="L525" s="33" t="s">
        <v>2066</v>
      </c>
      <c r="M525" s="33" t="s">
        <v>2067</v>
      </c>
    </row>
    <row r="526">
      <c r="A526" s="33"/>
      <c r="B526" s="27" t="s">
        <v>1100</v>
      </c>
      <c r="C526" s="27" t="s">
        <v>2068</v>
      </c>
      <c r="D526" s="27" t="s">
        <v>1111</v>
      </c>
      <c r="E526" s="33" t="s">
        <v>1160</v>
      </c>
      <c r="F526" s="31">
        <f t="shared" si="31"/>
        <v>2</v>
      </c>
      <c r="G526" s="27" t="s">
        <v>2069</v>
      </c>
      <c r="H526" s="33"/>
      <c r="I526" s="7" t="str">
        <f>IFERROR(__xludf.DUMMYFUNCTION("regexreplace(lower(C526), ""_"", """")"),"headctresult5")</f>
        <v>headctresult5</v>
      </c>
      <c r="J526" s="9" t="b">
        <f t="shared" si="2"/>
        <v>1</v>
      </c>
      <c r="K526" s="7" t="str">
        <f>IFERROR(__xludf.DUMMYFUNCTION("regexreplace(G526, ""_"", """")"),"headctresult5")</f>
        <v>headctresult5</v>
      </c>
      <c r="L526" s="33" t="s">
        <v>2070</v>
      </c>
      <c r="M526" s="33" t="s">
        <v>2071</v>
      </c>
    </row>
    <row r="527">
      <c r="A527" s="33"/>
      <c r="B527" s="27" t="s">
        <v>1100</v>
      </c>
      <c r="C527" s="27" t="s">
        <v>2072</v>
      </c>
      <c r="D527" s="27" t="s">
        <v>1111</v>
      </c>
      <c r="E527" s="33" t="s">
        <v>1163</v>
      </c>
      <c r="F527" s="31">
        <f t="shared" si="31"/>
        <v>2</v>
      </c>
      <c r="G527" s="27" t="s">
        <v>2073</v>
      </c>
      <c r="H527" s="33"/>
      <c r="I527" s="7" t="str">
        <f>IFERROR(__xludf.DUMMYFUNCTION("regexreplace(lower(C527), ""_"", """")"),"headctresult6")</f>
        <v>headctresult6</v>
      </c>
      <c r="J527" s="9" t="b">
        <f t="shared" si="2"/>
        <v>1</v>
      </c>
      <c r="K527" s="7" t="str">
        <f>IFERROR(__xludf.DUMMYFUNCTION("regexreplace(G527, ""_"", """")"),"headctresult6")</f>
        <v>headctresult6</v>
      </c>
      <c r="L527" s="33" t="s">
        <v>2074</v>
      </c>
      <c r="M527" s="33" t="s">
        <v>2075</v>
      </c>
    </row>
    <row r="528">
      <c r="A528" s="33"/>
      <c r="B528" s="27" t="s">
        <v>1100</v>
      </c>
      <c r="C528" s="27" t="s">
        <v>2076</v>
      </c>
      <c r="D528" s="27" t="s">
        <v>1111</v>
      </c>
      <c r="E528" s="33" t="s">
        <v>1166</v>
      </c>
      <c r="F528" s="31">
        <f t="shared" si="31"/>
        <v>2</v>
      </c>
      <c r="G528" s="27" t="s">
        <v>2077</v>
      </c>
      <c r="H528" s="33"/>
      <c r="I528" s="7" t="str">
        <f>IFERROR(__xludf.DUMMYFUNCTION("regexreplace(lower(C528), ""_"", """")"),"headctresult7")</f>
        <v>headctresult7</v>
      </c>
      <c r="J528" s="9" t="b">
        <f t="shared" si="2"/>
        <v>1</v>
      </c>
      <c r="K528" s="7" t="str">
        <f>IFERROR(__xludf.DUMMYFUNCTION("regexreplace(G528, ""_"", """")"),"headctresult7")</f>
        <v>headctresult7</v>
      </c>
      <c r="L528" s="33" t="s">
        <v>2078</v>
      </c>
      <c r="M528" s="33" t="s">
        <v>2079</v>
      </c>
    </row>
    <row r="529">
      <c r="A529" s="33"/>
      <c r="B529" s="27" t="s">
        <v>1100</v>
      </c>
      <c r="C529" s="27" t="s">
        <v>2080</v>
      </c>
      <c r="D529" s="27" t="s">
        <v>1111</v>
      </c>
      <c r="E529" s="33" t="s">
        <v>1169</v>
      </c>
      <c r="F529" s="31">
        <f t="shared" si="31"/>
        <v>2</v>
      </c>
      <c r="G529" s="27" t="s">
        <v>2081</v>
      </c>
      <c r="H529" s="33"/>
      <c r="I529" s="7" t="str">
        <f>IFERROR(__xludf.DUMMYFUNCTION("regexreplace(lower(C529), ""_"", """")"),"headctresult8")</f>
        <v>headctresult8</v>
      </c>
      <c r="J529" s="9" t="b">
        <f t="shared" si="2"/>
        <v>1</v>
      </c>
      <c r="K529" s="7" t="str">
        <f>IFERROR(__xludf.DUMMYFUNCTION("regexreplace(G529, ""_"", """")"),"headctresult8")</f>
        <v>headctresult8</v>
      </c>
      <c r="L529" s="33" t="s">
        <v>2082</v>
      </c>
      <c r="M529" s="33" t="s">
        <v>2083</v>
      </c>
    </row>
    <row r="530">
      <c r="A530" s="33"/>
      <c r="B530" s="27" t="s">
        <v>1100</v>
      </c>
      <c r="C530" s="27" t="s">
        <v>2084</v>
      </c>
      <c r="D530" s="27" t="s">
        <v>19</v>
      </c>
      <c r="E530" s="33" t="s">
        <v>1172</v>
      </c>
      <c r="F530" s="31">
        <f t="shared" si="31"/>
        <v>2</v>
      </c>
      <c r="G530" s="27" t="s">
        <v>2085</v>
      </c>
      <c r="H530" s="33"/>
      <c r="I530" s="7" t="str">
        <f>IFERROR(__xludf.DUMMYFUNCTION("regexreplace(lower(C530), ""_"", """")"),"headctresulttext")</f>
        <v>headctresulttext</v>
      </c>
      <c r="J530" s="9" t="b">
        <f t="shared" si="2"/>
        <v>1</v>
      </c>
      <c r="K530" s="7" t="str">
        <f>IFERROR(__xludf.DUMMYFUNCTION("regexreplace(G530, ""_"", """")"),"headctresulttext")</f>
        <v>headctresulttext</v>
      </c>
      <c r="L530" s="33" t="s">
        <v>2086</v>
      </c>
      <c r="M530" s="33" t="s">
        <v>2087</v>
      </c>
    </row>
    <row r="531">
      <c r="A531" s="33"/>
      <c r="B531" s="27" t="s">
        <v>1100</v>
      </c>
      <c r="C531" s="27" t="s">
        <v>2088</v>
      </c>
      <c r="D531" s="27" t="s">
        <v>43</v>
      </c>
      <c r="E531" s="33" t="s">
        <v>1175</v>
      </c>
      <c r="F531" s="31">
        <f t="shared" si="31"/>
        <v>2</v>
      </c>
      <c r="G531" s="27" t="s">
        <v>2089</v>
      </c>
      <c r="H531" s="33"/>
      <c r="I531" s="7" t="str">
        <f>IFERROR(__xludf.DUMMYFUNCTION("regexreplace(lower(C531), ""_"", """")"),"brainmri")</f>
        <v>brainmri</v>
      </c>
      <c r="J531" s="9" t="b">
        <f t="shared" si="2"/>
        <v>1</v>
      </c>
      <c r="K531" s="7" t="str">
        <f>IFERROR(__xludf.DUMMYFUNCTION("regexreplace(G531, ""_"", """")"),"brainmri")</f>
        <v>brainmri</v>
      </c>
      <c r="L531" s="33" t="s">
        <v>2090</v>
      </c>
      <c r="M531" s="33" t="s">
        <v>2091</v>
      </c>
    </row>
    <row r="532">
      <c r="A532" s="33"/>
      <c r="B532" s="27" t="s">
        <v>1100</v>
      </c>
      <c r="C532" s="27" t="s">
        <v>2092</v>
      </c>
      <c r="D532" s="27" t="s">
        <v>29</v>
      </c>
      <c r="E532" s="33" t="s">
        <v>1178</v>
      </c>
      <c r="F532" s="31">
        <f t="shared" si="31"/>
        <v>2</v>
      </c>
      <c r="G532" s="27" t="s">
        <v>2093</v>
      </c>
      <c r="H532" s="33"/>
      <c r="I532" s="7" t="str">
        <f>IFERROR(__xludf.DUMMYFUNCTION("regexreplace(lower(C532), ""_"", """")"),"brainmridate")</f>
        <v>brainmridate</v>
      </c>
      <c r="J532" s="9" t="b">
        <f t="shared" si="2"/>
        <v>1</v>
      </c>
      <c r="K532" s="7" t="str">
        <f>IFERROR(__xludf.DUMMYFUNCTION("regexreplace(G532, ""_"", """")"),"brainmridate")</f>
        <v>brainmridate</v>
      </c>
      <c r="L532" s="33" t="s">
        <v>2094</v>
      </c>
      <c r="M532" s="33" t="s">
        <v>2095</v>
      </c>
    </row>
    <row r="533">
      <c r="A533" s="33"/>
      <c r="B533" s="27" t="s">
        <v>1100</v>
      </c>
      <c r="C533" s="27" t="s">
        <v>2096</v>
      </c>
      <c r="D533" s="27" t="s">
        <v>148</v>
      </c>
      <c r="E533" s="33" t="s">
        <v>1181</v>
      </c>
      <c r="F533" s="31">
        <f t="shared" si="31"/>
        <v>2</v>
      </c>
      <c r="G533" s="27" t="s">
        <v>2097</v>
      </c>
      <c r="H533" s="33"/>
      <c r="I533" s="7" t="str">
        <f>IFERROR(__xludf.DUMMYFUNCTION("regexreplace(lower(C533), ""_"", """")"),"brainmritime")</f>
        <v>brainmritime</v>
      </c>
      <c r="J533" s="9" t="b">
        <f t="shared" si="2"/>
        <v>1</v>
      </c>
      <c r="K533" s="7" t="str">
        <f>IFERROR(__xludf.DUMMYFUNCTION("regexreplace(G533, ""_"", """")"),"brainmritime")</f>
        <v>brainmritime</v>
      </c>
      <c r="L533" s="33" t="s">
        <v>2098</v>
      </c>
      <c r="M533" s="33" t="s">
        <v>2099</v>
      </c>
    </row>
    <row r="534">
      <c r="A534" s="33"/>
      <c r="B534" s="27" t="s">
        <v>1100</v>
      </c>
      <c r="C534" s="27" t="s">
        <v>2100</v>
      </c>
      <c r="D534" s="27" t="s">
        <v>1111</v>
      </c>
      <c r="E534" s="33" t="s">
        <v>1184</v>
      </c>
      <c r="F534" s="31">
        <f t="shared" si="31"/>
        <v>2</v>
      </c>
      <c r="G534" s="27" t="s">
        <v>2101</v>
      </c>
      <c r="H534" s="33"/>
      <c r="I534" s="7" t="str">
        <f>IFERROR(__xludf.DUMMYFUNCTION("regexreplace(lower(C534), ""_"", """")"),"brainmriresult1")</f>
        <v>brainmriresult1</v>
      </c>
      <c r="J534" s="9" t="b">
        <f t="shared" si="2"/>
        <v>1</v>
      </c>
      <c r="K534" s="7" t="str">
        <f>IFERROR(__xludf.DUMMYFUNCTION("regexreplace(G534, ""_"", """")"),"brainmriresult1")</f>
        <v>brainmriresult1</v>
      </c>
      <c r="L534" s="33" t="s">
        <v>2102</v>
      </c>
      <c r="M534" s="33" t="s">
        <v>2103</v>
      </c>
    </row>
    <row r="535">
      <c r="A535" s="33"/>
      <c r="B535" s="27" t="s">
        <v>1100</v>
      </c>
      <c r="C535" s="27" t="s">
        <v>2104</v>
      </c>
      <c r="D535" s="27" t="s">
        <v>1111</v>
      </c>
      <c r="E535" s="33" t="s">
        <v>1187</v>
      </c>
      <c r="F535" s="31">
        <f t="shared" si="31"/>
        <v>2</v>
      </c>
      <c r="G535" s="27" t="s">
        <v>2105</v>
      </c>
      <c r="H535" s="33"/>
      <c r="I535" s="7" t="str">
        <f>IFERROR(__xludf.DUMMYFUNCTION("regexreplace(lower(C535), ""_"", """")"),"brainmriresult2")</f>
        <v>brainmriresult2</v>
      </c>
      <c r="J535" s="9" t="b">
        <f t="shared" si="2"/>
        <v>1</v>
      </c>
      <c r="K535" s="7" t="str">
        <f>IFERROR(__xludf.DUMMYFUNCTION("regexreplace(G535, ""_"", """")"),"brainmriresult2")</f>
        <v>brainmriresult2</v>
      </c>
      <c r="L535" s="33" t="s">
        <v>2106</v>
      </c>
      <c r="M535" s="33" t="s">
        <v>2107</v>
      </c>
    </row>
    <row r="536">
      <c r="A536" s="33"/>
      <c r="B536" s="27" t="s">
        <v>1100</v>
      </c>
      <c r="C536" s="27" t="s">
        <v>2108</v>
      </c>
      <c r="D536" s="27" t="s">
        <v>1111</v>
      </c>
      <c r="E536" s="33" t="s">
        <v>1190</v>
      </c>
      <c r="F536" s="31">
        <f t="shared" si="31"/>
        <v>2</v>
      </c>
      <c r="G536" s="27" t="s">
        <v>2109</v>
      </c>
      <c r="H536" s="33"/>
      <c r="I536" s="7" t="str">
        <f>IFERROR(__xludf.DUMMYFUNCTION("regexreplace(lower(C536), ""_"", """")"),"brainmriresult3")</f>
        <v>brainmriresult3</v>
      </c>
      <c r="J536" s="9" t="b">
        <f t="shared" si="2"/>
        <v>1</v>
      </c>
      <c r="K536" s="7" t="str">
        <f>IFERROR(__xludf.DUMMYFUNCTION("regexreplace(G536, ""_"", """")"),"brainmriresult3")</f>
        <v>brainmriresult3</v>
      </c>
      <c r="L536" s="33" t="s">
        <v>2110</v>
      </c>
      <c r="M536" s="33" t="s">
        <v>2111</v>
      </c>
    </row>
    <row r="537">
      <c r="A537" s="33"/>
      <c r="B537" s="27" t="s">
        <v>1100</v>
      </c>
      <c r="C537" s="27" t="s">
        <v>2112</v>
      </c>
      <c r="D537" s="27" t="s">
        <v>1111</v>
      </c>
      <c r="E537" s="33" t="s">
        <v>1193</v>
      </c>
      <c r="F537" s="31">
        <f t="shared" si="31"/>
        <v>2</v>
      </c>
      <c r="G537" s="27" t="s">
        <v>2113</v>
      </c>
      <c r="H537" s="33"/>
      <c r="I537" s="7" t="str">
        <f>IFERROR(__xludf.DUMMYFUNCTION("regexreplace(lower(C537), ""_"", """")"),"brainmriresult4")</f>
        <v>brainmriresult4</v>
      </c>
      <c r="J537" s="9" t="b">
        <f t="shared" si="2"/>
        <v>1</v>
      </c>
      <c r="K537" s="7" t="str">
        <f>IFERROR(__xludf.DUMMYFUNCTION("regexreplace(G537, ""_"", """")"),"brainmriresult4")</f>
        <v>brainmriresult4</v>
      </c>
      <c r="L537" s="33" t="s">
        <v>2114</v>
      </c>
      <c r="M537" s="33" t="s">
        <v>2115</v>
      </c>
    </row>
    <row r="538">
      <c r="A538" s="33"/>
      <c r="B538" s="27" t="s">
        <v>1100</v>
      </c>
      <c r="C538" s="27" t="s">
        <v>2116</v>
      </c>
      <c r="D538" s="27" t="s">
        <v>1111</v>
      </c>
      <c r="E538" s="33" t="s">
        <v>1196</v>
      </c>
      <c r="F538" s="31">
        <f t="shared" si="31"/>
        <v>2</v>
      </c>
      <c r="G538" s="27" t="s">
        <v>2117</v>
      </c>
      <c r="H538" s="33"/>
      <c r="I538" s="7" t="str">
        <f>IFERROR(__xludf.DUMMYFUNCTION("regexreplace(lower(C538), ""_"", """")"),"brainmriresult5")</f>
        <v>brainmriresult5</v>
      </c>
      <c r="J538" s="9" t="b">
        <f t="shared" si="2"/>
        <v>1</v>
      </c>
      <c r="K538" s="7" t="str">
        <f>IFERROR(__xludf.DUMMYFUNCTION("regexreplace(G538, ""_"", """")"),"brainmriresult5")</f>
        <v>brainmriresult5</v>
      </c>
      <c r="L538" s="33" t="s">
        <v>2118</v>
      </c>
      <c r="M538" s="33" t="s">
        <v>2119</v>
      </c>
    </row>
    <row r="539">
      <c r="A539" s="33"/>
      <c r="B539" s="27" t="s">
        <v>1100</v>
      </c>
      <c r="C539" s="27" t="s">
        <v>2120</v>
      </c>
      <c r="D539" s="27" t="s">
        <v>1111</v>
      </c>
      <c r="E539" s="33" t="s">
        <v>1199</v>
      </c>
      <c r="F539" s="31">
        <f t="shared" si="31"/>
        <v>2</v>
      </c>
      <c r="G539" s="27" t="s">
        <v>2121</v>
      </c>
      <c r="H539" s="33"/>
      <c r="I539" s="7" t="str">
        <f>IFERROR(__xludf.DUMMYFUNCTION("regexreplace(lower(C539), ""_"", """")"),"brainmriresult6")</f>
        <v>brainmriresult6</v>
      </c>
      <c r="J539" s="9" t="b">
        <f t="shared" si="2"/>
        <v>1</v>
      </c>
      <c r="K539" s="7" t="str">
        <f>IFERROR(__xludf.DUMMYFUNCTION("regexreplace(G539, ""_"", """")"),"brainmriresult6")</f>
        <v>brainmriresult6</v>
      </c>
      <c r="L539" s="33" t="s">
        <v>2122</v>
      </c>
      <c r="M539" s="33" t="s">
        <v>2123</v>
      </c>
    </row>
    <row r="540">
      <c r="A540" s="33"/>
      <c r="B540" s="27" t="s">
        <v>1100</v>
      </c>
      <c r="C540" s="27" t="s">
        <v>2124</v>
      </c>
      <c r="D540" s="27" t="s">
        <v>1111</v>
      </c>
      <c r="E540" s="33" t="s">
        <v>1202</v>
      </c>
      <c r="F540" s="31">
        <f t="shared" si="31"/>
        <v>2</v>
      </c>
      <c r="G540" s="27" t="s">
        <v>2125</v>
      </c>
      <c r="H540" s="33"/>
      <c r="I540" s="7" t="str">
        <f>IFERROR(__xludf.DUMMYFUNCTION("regexreplace(lower(C540), ""_"", """")"),"brainmriresult7")</f>
        <v>brainmriresult7</v>
      </c>
      <c r="J540" s="9" t="b">
        <f t="shared" si="2"/>
        <v>1</v>
      </c>
      <c r="K540" s="7" t="str">
        <f>IFERROR(__xludf.DUMMYFUNCTION("regexreplace(G540, ""_"", """")"),"brainmriresult7")</f>
        <v>brainmriresult7</v>
      </c>
      <c r="L540" s="33" t="s">
        <v>2126</v>
      </c>
      <c r="M540" s="33" t="s">
        <v>2127</v>
      </c>
    </row>
    <row r="541">
      <c r="A541" s="33"/>
      <c r="B541" s="27" t="s">
        <v>1100</v>
      </c>
      <c r="C541" s="27" t="s">
        <v>2128</v>
      </c>
      <c r="D541" s="27" t="s">
        <v>1111</v>
      </c>
      <c r="E541" s="33" t="s">
        <v>1205</v>
      </c>
      <c r="F541" s="31">
        <f t="shared" si="31"/>
        <v>2</v>
      </c>
      <c r="G541" s="27" t="s">
        <v>2129</v>
      </c>
      <c r="H541" s="33"/>
      <c r="I541" s="7" t="str">
        <f>IFERROR(__xludf.DUMMYFUNCTION("regexreplace(lower(C541), ""_"", """")"),"brainmriresult8")</f>
        <v>brainmriresult8</v>
      </c>
      <c r="J541" s="9" t="b">
        <f t="shared" si="2"/>
        <v>1</v>
      </c>
      <c r="K541" s="7" t="str">
        <f>IFERROR(__xludf.DUMMYFUNCTION("regexreplace(G541, ""_"", """")"),"brainmriresult8")</f>
        <v>brainmriresult8</v>
      </c>
      <c r="L541" s="33" t="s">
        <v>2130</v>
      </c>
      <c r="M541" s="33" t="s">
        <v>2131</v>
      </c>
    </row>
    <row r="542">
      <c r="A542" s="33"/>
      <c r="B542" s="27" t="s">
        <v>1100</v>
      </c>
      <c r="C542" s="27" t="s">
        <v>2132</v>
      </c>
      <c r="D542" s="27" t="s">
        <v>19</v>
      </c>
      <c r="E542" s="33" t="s">
        <v>1208</v>
      </c>
      <c r="F542" s="31">
        <f t="shared" si="31"/>
        <v>2</v>
      </c>
      <c r="G542" s="27" t="s">
        <v>2133</v>
      </c>
      <c r="H542" s="33"/>
      <c r="I542" s="7" t="str">
        <f>IFERROR(__xludf.DUMMYFUNCTION("regexreplace(lower(C542), ""_"", """")"),"brainmriresulttext")</f>
        <v>brainmriresulttext</v>
      </c>
      <c r="J542" s="9" t="b">
        <f t="shared" si="2"/>
        <v>1</v>
      </c>
      <c r="K542" s="7" t="str">
        <f>IFERROR(__xludf.DUMMYFUNCTION("regexreplace(G542, ""_"", """")"),"brainmriresulttext")</f>
        <v>brainmriresulttext</v>
      </c>
      <c r="L542" s="33" t="s">
        <v>2134</v>
      </c>
      <c r="M542" s="33" t="s">
        <v>2135</v>
      </c>
    </row>
    <row r="543">
      <c r="A543" s="12"/>
      <c r="B543" s="12"/>
      <c r="C543" s="13"/>
      <c r="D543" s="12"/>
      <c r="E543" s="12"/>
      <c r="F543" s="12"/>
      <c r="G543" s="12"/>
      <c r="H543" s="12"/>
      <c r="I543" s="13" t="str">
        <f>IFERROR(__xludf.DUMMYFUNCTION("regexreplace(lower(C543), ""_"", """")"),"")</f>
        <v/>
      </c>
      <c r="J543" s="14" t="str">
        <f t="shared" si="2"/>
        <v/>
      </c>
      <c r="K543" s="13" t="str">
        <f>IFERROR(__xludf.DUMMYFUNCTION("regexreplace(G543, ""_"", """")"),"")</f>
        <v/>
      </c>
      <c r="L543" s="12"/>
      <c r="M543" s="12"/>
    </row>
    <row r="544">
      <c r="A544" s="12"/>
      <c r="B544" s="12"/>
      <c r="C544" s="13"/>
      <c r="D544" s="12"/>
      <c r="E544" s="12"/>
      <c r="F544" s="12"/>
      <c r="G544" s="12"/>
      <c r="H544" s="12"/>
      <c r="I544" s="13" t="str">
        <f>IFERROR(__xludf.DUMMYFUNCTION("regexreplace(lower(C544), ""_"", """")"),"")</f>
        <v/>
      </c>
      <c r="J544" s="14" t="str">
        <f t="shared" si="2"/>
        <v/>
      </c>
      <c r="K544" s="13" t="str">
        <f>IFERROR(__xludf.DUMMYFUNCTION("regexreplace(G544, ""_"", """")"),"")</f>
        <v/>
      </c>
      <c r="L544" s="12"/>
      <c r="M544" s="12"/>
    </row>
    <row r="545">
      <c r="A545" s="27" t="s">
        <v>1326</v>
      </c>
      <c r="B545" s="27" t="s">
        <v>2136</v>
      </c>
      <c r="C545" s="27" t="s">
        <v>2137</v>
      </c>
      <c r="D545" s="27" t="s">
        <v>34</v>
      </c>
      <c r="E545" s="33" t="s">
        <v>2138</v>
      </c>
      <c r="F545" s="31">
        <f t="shared" ref="F545:F558" si="32">counta(L545:M545)</f>
        <v>1</v>
      </c>
      <c r="G545" s="27" t="s">
        <v>2139</v>
      </c>
      <c r="H545" s="33"/>
      <c r="I545" s="7" t="str">
        <f>IFERROR(__xludf.DUMMYFUNCTION("regexreplace(lower(C545), ""_"", """")"),"elevatedtempnumber")</f>
        <v>elevatedtempnumber</v>
      </c>
      <c r="J545" s="9" t="b">
        <f t="shared" si="2"/>
        <v>1</v>
      </c>
      <c r="K545" s="7" t="str">
        <f>IFERROR(__xludf.DUMMYFUNCTION("regexreplace(G545, ""_"", """")"),"elevatedtempnumber")</f>
        <v>elevatedtempnumber</v>
      </c>
      <c r="L545" s="33" t="s">
        <v>2140</v>
      </c>
      <c r="M545" s="33"/>
    </row>
    <row r="546">
      <c r="A546" s="33"/>
      <c r="B546" s="27" t="s">
        <v>2136</v>
      </c>
      <c r="C546" s="27" t="s">
        <v>2141</v>
      </c>
      <c r="D546" s="27" t="s">
        <v>34</v>
      </c>
      <c r="E546" s="33" t="s">
        <v>2142</v>
      </c>
      <c r="F546" s="31">
        <f t="shared" si="32"/>
        <v>1</v>
      </c>
      <c r="G546" s="27" t="s">
        <v>2143</v>
      </c>
      <c r="H546" s="33"/>
      <c r="I546" s="7" t="str">
        <f>IFERROR(__xludf.DUMMYFUNCTION("regexreplace(lower(C546), ""_"", """")"),"elevatedtempmin")</f>
        <v>elevatedtempmin</v>
      </c>
      <c r="J546" s="9" t="b">
        <f t="shared" si="2"/>
        <v>1</v>
      </c>
      <c r="K546" s="7" t="str">
        <f>IFERROR(__xludf.DUMMYFUNCTION("regexreplace(G546, ""_"", """")"),"elevatedtempmin")</f>
        <v>elevatedtempmin</v>
      </c>
      <c r="L546" s="33" t="s">
        <v>2144</v>
      </c>
      <c r="M546" s="33"/>
    </row>
    <row r="547">
      <c r="A547" s="33"/>
      <c r="B547" s="27" t="s">
        <v>2136</v>
      </c>
      <c r="C547" s="27" t="s">
        <v>2145</v>
      </c>
      <c r="D547" s="27" t="s">
        <v>29</v>
      </c>
      <c r="E547" s="33" t="s">
        <v>2146</v>
      </c>
      <c r="F547" s="31">
        <f t="shared" si="32"/>
        <v>1</v>
      </c>
      <c r="G547" s="27" t="s">
        <v>2147</v>
      </c>
      <c r="H547" s="33"/>
      <c r="I547" s="7" t="str">
        <f>IFERROR(__xludf.DUMMYFUNCTION("regexreplace(lower(C547), ""_"", """")"),"elevatedtempdate")</f>
        <v>elevatedtempdate</v>
      </c>
      <c r="J547" s="9" t="b">
        <f t="shared" si="2"/>
        <v>1</v>
      </c>
      <c r="K547" s="7" t="str">
        <f>IFERROR(__xludf.DUMMYFUNCTION("regexreplace(G547, ""_"", """")"),"elevatedtempdate")</f>
        <v>elevatedtempdate</v>
      </c>
      <c r="L547" s="33" t="s">
        <v>2148</v>
      </c>
      <c r="M547" s="33"/>
    </row>
    <row r="548">
      <c r="A548" s="33"/>
      <c r="B548" s="27" t="s">
        <v>2136</v>
      </c>
      <c r="C548" s="27" t="s">
        <v>2149</v>
      </c>
      <c r="D548" s="27" t="s">
        <v>148</v>
      </c>
      <c r="E548" s="33" t="s">
        <v>2150</v>
      </c>
      <c r="F548" s="31">
        <f t="shared" si="32"/>
        <v>1</v>
      </c>
      <c r="G548" s="27" t="s">
        <v>2151</v>
      </c>
      <c r="H548" s="33"/>
      <c r="I548" s="7" t="str">
        <f>IFERROR(__xludf.DUMMYFUNCTION("regexreplace(lower(C548), ""_"", """")"),"elevatedtemptime")</f>
        <v>elevatedtemptime</v>
      </c>
      <c r="J548" s="9" t="b">
        <f t="shared" si="2"/>
        <v>1</v>
      </c>
      <c r="K548" s="7" t="str">
        <f>IFERROR(__xludf.DUMMYFUNCTION("regexreplace(G548, ""_"", """")"),"elevatedtemptime")</f>
        <v>elevatedtemptime</v>
      </c>
      <c r="L548" s="33" t="s">
        <v>2152</v>
      </c>
      <c r="M548" s="33"/>
    </row>
    <row r="549">
      <c r="A549" s="33"/>
      <c r="B549" s="27" t="s">
        <v>2136</v>
      </c>
      <c r="C549" s="27" t="s">
        <v>2153</v>
      </c>
      <c r="D549" s="27" t="s">
        <v>154</v>
      </c>
      <c r="E549" s="33" t="s">
        <v>2154</v>
      </c>
      <c r="F549" s="31">
        <f t="shared" si="32"/>
        <v>1</v>
      </c>
      <c r="G549" s="27" t="s">
        <v>2155</v>
      </c>
      <c r="H549" s="33"/>
      <c r="I549" s="7" t="str">
        <f>IFERROR(__xludf.DUMMYFUNCTION("regexreplace(lower(C549), ""_"", """")"),"elevatedtempskintemperaturec")</f>
        <v>elevatedtempskintemperaturec</v>
      </c>
      <c r="J549" s="9" t="b">
        <f t="shared" si="2"/>
        <v>1</v>
      </c>
      <c r="K549" s="7" t="str">
        <f>IFERROR(__xludf.DUMMYFUNCTION("regexreplace(G549, ""_"", """")"),"elevatedtempskintemperaturec")</f>
        <v>elevatedtempskintemperaturec</v>
      </c>
      <c r="L549" s="33" t="s">
        <v>2156</v>
      </c>
      <c r="M549" s="33"/>
    </row>
    <row r="550">
      <c r="A550" s="33"/>
      <c r="B550" s="27" t="s">
        <v>2136</v>
      </c>
      <c r="C550" s="27" t="s">
        <v>2157</v>
      </c>
      <c r="D550" s="27" t="s">
        <v>154</v>
      </c>
      <c r="E550" s="33" t="s">
        <v>2158</v>
      </c>
      <c r="F550" s="31">
        <f t="shared" si="32"/>
        <v>1</v>
      </c>
      <c r="G550" s="27" t="s">
        <v>2159</v>
      </c>
      <c r="H550" s="33"/>
      <c r="I550" s="7" t="str">
        <f>IFERROR(__xludf.DUMMYFUNCTION("regexreplace(lower(C550), ""_"", """")"),"elevatedtempaxillarytemperaturec")</f>
        <v>elevatedtempaxillarytemperaturec</v>
      </c>
      <c r="J550" s="9" t="b">
        <f t="shared" si="2"/>
        <v>1</v>
      </c>
      <c r="K550" s="7" t="str">
        <f>IFERROR(__xludf.DUMMYFUNCTION("regexreplace(G550, ""_"", """")"),"elevatedtempaxillarytemperaturec")</f>
        <v>elevatedtempaxillarytemperaturec</v>
      </c>
      <c r="L550" s="33" t="s">
        <v>2160</v>
      </c>
      <c r="M550" s="33"/>
    </row>
    <row r="551">
      <c r="A551" s="33"/>
      <c r="B551" s="27" t="s">
        <v>2136</v>
      </c>
      <c r="C551" s="27" t="s">
        <v>2161</v>
      </c>
      <c r="D551" s="27" t="s">
        <v>154</v>
      </c>
      <c r="E551" s="33" t="s">
        <v>2162</v>
      </c>
      <c r="F551" s="31">
        <f t="shared" si="32"/>
        <v>1</v>
      </c>
      <c r="G551" s="27" t="s">
        <v>2163</v>
      </c>
      <c r="H551" s="33"/>
      <c r="I551" s="7" t="str">
        <f>IFERROR(__xludf.DUMMYFUNCTION("regexreplace(lower(C551), ""_"", """")"),"elevatedtempesophagealtemperaturec")</f>
        <v>elevatedtempesophagealtemperaturec</v>
      </c>
      <c r="J551" s="9" t="b">
        <f t="shared" si="2"/>
        <v>1</v>
      </c>
      <c r="K551" s="7" t="str">
        <f>IFERROR(__xludf.DUMMYFUNCTION("regexreplace(G551, ""_"", """")"),"elevatedtempesophagealtemperaturec")</f>
        <v>elevatedtempesophagealtemperaturec</v>
      </c>
      <c r="L551" s="33" t="s">
        <v>2164</v>
      </c>
      <c r="M551" s="33"/>
    </row>
    <row r="552">
      <c r="A552" s="33"/>
      <c r="B552" s="27" t="s">
        <v>2136</v>
      </c>
      <c r="C552" s="27" t="s">
        <v>2165</v>
      </c>
      <c r="D552" s="27" t="s">
        <v>154</v>
      </c>
      <c r="E552" s="33" t="s">
        <v>2166</v>
      </c>
      <c r="F552" s="31">
        <f t="shared" si="32"/>
        <v>1</v>
      </c>
      <c r="G552" s="27" t="s">
        <v>2167</v>
      </c>
      <c r="H552" s="33"/>
      <c r="I552" s="7" t="str">
        <f>IFERROR(__xludf.DUMMYFUNCTION("regexreplace(lower(C552), ""_"", """")"),"elevatedtempservosetc")</f>
        <v>elevatedtempservosetc</v>
      </c>
      <c r="J552" s="9" t="b">
        <f t="shared" si="2"/>
        <v>1</v>
      </c>
      <c r="K552" s="7" t="str">
        <f>IFERROR(__xludf.DUMMYFUNCTION("regexreplace(G552, ""_"", """")"),"elevatedtempservosetc")</f>
        <v>elevatedtempservosetc</v>
      </c>
      <c r="L552" s="33" t="s">
        <v>2168</v>
      </c>
      <c r="M552" s="33"/>
    </row>
    <row r="553">
      <c r="A553" s="33"/>
      <c r="B553" s="27" t="s">
        <v>2136</v>
      </c>
      <c r="C553" s="27" t="s">
        <v>2169</v>
      </c>
      <c r="D553" s="27" t="s">
        <v>2169</v>
      </c>
      <c r="E553" s="33" t="s">
        <v>2170</v>
      </c>
      <c r="F553" s="31">
        <f t="shared" si="32"/>
        <v>1</v>
      </c>
      <c r="G553" s="27" t="s">
        <v>2171</v>
      </c>
      <c r="H553" s="33"/>
      <c r="I553" s="7" t="str">
        <f>IFERROR(__xludf.DUMMYFUNCTION("regexreplace(lower(C553), ""_"", """")"),"elevatedtempdevice")</f>
        <v>elevatedtempdevice</v>
      </c>
      <c r="J553" s="9" t="b">
        <f t="shared" si="2"/>
        <v>1</v>
      </c>
      <c r="K553" s="7" t="str">
        <f>IFERROR(__xludf.DUMMYFUNCTION("regexreplace(G553, ""_"", """")"),"elevatedtempdevice")</f>
        <v>elevatedtempdevice</v>
      </c>
      <c r="L553" s="33" t="s">
        <v>2172</v>
      </c>
      <c r="M553" s="33"/>
    </row>
    <row r="554">
      <c r="A554" s="33"/>
      <c r="B554" s="27" t="s">
        <v>2136</v>
      </c>
      <c r="C554" s="27" t="s">
        <v>2173</v>
      </c>
      <c r="D554" s="27" t="s">
        <v>2173</v>
      </c>
      <c r="E554" s="33" t="s">
        <v>2174</v>
      </c>
      <c r="F554" s="31">
        <f t="shared" si="32"/>
        <v>1</v>
      </c>
      <c r="G554" s="27" t="s">
        <v>2175</v>
      </c>
      <c r="H554" s="33"/>
      <c r="I554" s="7" t="str">
        <f>IFERROR(__xludf.DUMMYFUNCTION("regexreplace(lower(C554), ""_"", """")"),"elevatedtempdevicemode")</f>
        <v>elevatedtempdevicemode</v>
      </c>
      <c r="J554" s="9" t="b">
        <f t="shared" si="2"/>
        <v>1</v>
      </c>
      <c r="K554" s="7" t="str">
        <f>IFERROR(__xludf.DUMMYFUNCTION("regexreplace(G554, ""_"", """")"),"elevatedtempdevicemode")</f>
        <v>elevatedtempdevicemode</v>
      </c>
      <c r="L554" s="33" t="s">
        <v>2176</v>
      </c>
      <c r="M554" s="33"/>
    </row>
    <row r="555">
      <c r="A555" s="33"/>
      <c r="B555" s="27" t="s">
        <v>2136</v>
      </c>
      <c r="C555" s="27" t="s">
        <v>2177</v>
      </c>
      <c r="D555" s="27" t="s">
        <v>154</v>
      </c>
      <c r="E555" s="33" t="s">
        <v>2178</v>
      </c>
      <c r="F555" s="31">
        <f t="shared" si="32"/>
        <v>1</v>
      </c>
      <c r="G555" s="27" t="s">
        <v>2179</v>
      </c>
      <c r="H555" s="33"/>
      <c r="I555" s="7" t="str">
        <f>IFERROR(__xludf.DUMMYFUNCTION("regexreplace(lower(C555), ""_"", """")"),"elevatedtempairtemperaturec")</f>
        <v>elevatedtempairtemperaturec</v>
      </c>
      <c r="J555" s="9" t="b">
        <f t="shared" si="2"/>
        <v>1</v>
      </c>
      <c r="K555" s="7" t="str">
        <f>IFERROR(__xludf.DUMMYFUNCTION("regexreplace(G555, ""_"", """")"),"elevatedtempairtemperaturec")</f>
        <v>elevatedtempairtemperaturec</v>
      </c>
      <c r="L555" s="33" t="s">
        <v>2180</v>
      </c>
      <c r="M555" s="33"/>
    </row>
    <row r="556">
      <c r="A556" s="33"/>
      <c r="B556" s="27" t="s">
        <v>2136</v>
      </c>
      <c r="C556" s="27" t="s">
        <v>2181</v>
      </c>
      <c r="D556" s="27" t="s">
        <v>43</v>
      </c>
      <c r="E556" s="33" t="s">
        <v>2182</v>
      </c>
      <c r="F556" s="31">
        <f t="shared" si="32"/>
        <v>1</v>
      </c>
      <c r="G556" s="27" t="s">
        <v>2183</v>
      </c>
      <c r="H556" s="33"/>
      <c r="I556" s="7" t="str">
        <f>IFERROR(__xludf.DUMMYFUNCTION("regexreplace(lower(C556), ""_"", """")"),"elevatedtempbath")</f>
        <v>elevatedtempbath</v>
      </c>
      <c r="J556" s="9" t="b">
        <f t="shared" si="2"/>
        <v>1</v>
      </c>
      <c r="K556" s="7" t="str">
        <f>IFERROR(__xludf.DUMMYFUNCTION("regexreplace(G556, ""_"", """")"),"elevatedtempbath")</f>
        <v>elevatedtempbath</v>
      </c>
      <c r="L556" s="33" t="s">
        <v>2184</v>
      </c>
      <c r="M556" s="33"/>
    </row>
    <row r="557">
      <c r="A557" s="33"/>
      <c r="B557" s="27" t="s">
        <v>2136</v>
      </c>
      <c r="C557" s="27" t="s">
        <v>2185</v>
      </c>
      <c r="D557" s="27" t="s">
        <v>2185</v>
      </c>
      <c r="E557" s="33" t="s">
        <v>2186</v>
      </c>
      <c r="F557" s="31">
        <f t="shared" si="32"/>
        <v>1</v>
      </c>
      <c r="G557" s="27" t="s">
        <v>2187</v>
      </c>
      <c r="H557" s="33"/>
      <c r="I557" s="7" t="str">
        <f>IFERROR(__xludf.DUMMYFUNCTION("regexreplace(lower(C557), ""_"", """")"),"elevatedtempnobathreason")</f>
        <v>elevatedtempnobathreason</v>
      </c>
      <c r="J557" s="9" t="b">
        <f t="shared" si="2"/>
        <v>1</v>
      </c>
      <c r="K557" s="7" t="str">
        <f>IFERROR(__xludf.DUMMYFUNCTION("regexreplace(G557, ""_"", """")"),"elevatedtempnobathreason")</f>
        <v>elevatedtempnobathreason</v>
      </c>
      <c r="L557" s="33" t="s">
        <v>2188</v>
      </c>
      <c r="M557" s="33"/>
    </row>
    <row r="558">
      <c r="A558" s="33"/>
      <c r="B558" s="27" t="s">
        <v>2136</v>
      </c>
      <c r="C558" s="27" t="s">
        <v>2189</v>
      </c>
      <c r="D558" s="27" t="s">
        <v>43</v>
      </c>
      <c r="E558" s="33" t="s">
        <v>2190</v>
      </c>
      <c r="F558" s="31">
        <f t="shared" si="32"/>
        <v>1</v>
      </c>
      <c r="G558" s="27" t="s">
        <v>2191</v>
      </c>
      <c r="H558" s="33"/>
      <c r="I558" s="7" t="str">
        <f>IFERROR(__xludf.DUMMYFUNCTION("regexreplace(lower(C558), ""_"", """")"),"elevatedtempblanketrol")</f>
        <v>elevatedtempblanketrol</v>
      </c>
      <c r="J558" s="9" t="b">
        <f t="shared" si="2"/>
        <v>1</v>
      </c>
      <c r="K558" s="7" t="str">
        <f>IFERROR(__xludf.DUMMYFUNCTION("regexreplace(G558, ""_"", """")"),"elevatedtempblanketrol")</f>
        <v>elevatedtempblanketrol</v>
      </c>
      <c r="L558" s="33" t="s">
        <v>2192</v>
      </c>
      <c r="M558" s="33"/>
    </row>
    <row r="559">
      <c r="A559" s="12"/>
      <c r="B559" s="12"/>
      <c r="C559" s="13"/>
      <c r="D559" s="12"/>
      <c r="E559" s="12"/>
      <c r="F559" s="12"/>
      <c r="G559" s="12"/>
      <c r="H559" s="12"/>
      <c r="I559" s="13" t="str">
        <f>IFERROR(__xludf.DUMMYFUNCTION("regexreplace(lower(C559), ""_"", """")"),"")</f>
        <v/>
      </c>
      <c r="J559" s="14" t="str">
        <f t="shared" si="2"/>
        <v/>
      </c>
      <c r="K559" s="13" t="str">
        <f>IFERROR(__xludf.DUMMYFUNCTION("regexreplace(G559, ""_"", """")"),"")</f>
        <v/>
      </c>
      <c r="L559" s="12"/>
      <c r="M559" s="12"/>
    </row>
    <row r="560">
      <c r="A560" s="27" t="s">
        <v>1326</v>
      </c>
      <c r="B560" s="27" t="s">
        <v>2193</v>
      </c>
      <c r="C560" s="27" t="s">
        <v>2194</v>
      </c>
      <c r="D560" s="27" t="s">
        <v>34</v>
      </c>
      <c r="E560" s="33" t="s">
        <v>2138</v>
      </c>
      <c r="F560" s="31">
        <f t="shared" ref="F560:F568" si="33">counta(L560:M560)</f>
        <v>1</v>
      </c>
      <c r="G560" s="27" t="s">
        <v>2195</v>
      </c>
      <c r="H560" s="33"/>
      <c r="I560" s="7" t="str">
        <f>IFERROR(__xludf.DUMMYFUNCTION("regexreplace(lower(C560), ""_"", """")"),"fluctuatetempnumber")</f>
        <v>fluctuatetempnumber</v>
      </c>
      <c r="J560" s="9" t="b">
        <f t="shared" si="2"/>
        <v>1</v>
      </c>
      <c r="K560" s="7" t="str">
        <f>IFERROR(__xludf.DUMMYFUNCTION("regexreplace(G560, ""_"", """")"),"fluctuatetempnumber")</f>
        <v>fluctuatetempnumber</v>
      </c>
      <c r="L560" s="33" t="s">
        <v>2196</v>
      </c>
      <c r="M560" s="33"/>
    </row>
    <row r="561">
      <c r="A561" s="33"/>
      <c r="B561" s="27" t="s">
        <v>2193</v>
      </c>
      <c r="C561" s="27" t="s">
        <v>2197</v>
      </c>
      <c r="D561" s="27" t="s">
        <v>34</v>
      </c>
      <c r="E561" s="33" t="s">
        <v>2142</v>
      </c>
      <c r="F561" s="31">
        <f t="shared" si="33"/>
        <v>1</v>
      </c>
      <c r="G561" s="27" t="s">
        <v>2198</v>
      </c>
      <c r="H561" s="33"/>
      <c r="I561" s="7" t="str">
        <f>IFERROR(__xludf.DUMMYFUNCTION("regexreplace(lower(C561), ""_"", """")"),"fluctuatetempmin")</f>
        <v>fluctuatetempmin</v>
      </c>
      <c r="J561" s="9" t="b">
        <f t="shared" si="2"/>
        <v>1</v>
      </c>
      <c r="K561" s="7" t="str">
        <f>IFERROR(__xludf.DUMMYFUNCTION("regexreplace(G561, ""_"", """")"),"fluctuatetempmin")</f>
        <v>fluctuatetempmin</v>
      </c>
      <c r="L561" s="33" t="s">
        <v>2199</v>
      </c>
      <c r="M561" s="33"/>
    </row>
    <row r="562">
      <c r="A562" s="33"/>
      <c r="B562" s="27" t="s">
        <v>2193</v>
      </c>
      <c r="C562" s="27" t="s">
        <v>2200</v>
      </c>
      <c r="D562" s="27" t="s">
        <v>29</v>
      </c>
      <c r="E562" s="33" t="s">
        <v>29</v>
      </c>
      <c r="F562" s="31">
        <f t="shared" si="33"/>
        <v>1</v>
      </c>
      <c r="G562" s="27" t="s">
        <v>2201</v>
      </c>
      <c r="H562" s="33"/>
      <c r="I562" s="7" t="str">
        <f>IFERROR(__xludf.DUMMYFUNCTION("regexreplace(lower(C562), ""_"", """")"),"fluctuatetempdate")</f>
        <v>fluctuatetempdate</v>
      </c>
      <c r="J562" s="9" t="b">
        <f t="shared" si="2"/>
        <v>1</v>
      </c>
      <c r="K562" s="7" t="str">
        <f>IFERROR(__xludf.DUMMYFUNCTION("regexreplace(G562, ""_"", """")"),"fluctuatetempdate")</f>
        <v>fluctuatetempdate</v>
      </c>
      <c r="L562" s="33" t="s">
        <v>2202</v>
      </c>
      <c r="M562" s="33"/>
    </row>
    <row r="563">
      <c r="A563" s="33"/>
      <c r="B563" s="27" t="s">
        <v>2193</v>
      </c>
      <c r="C563" s="27" t="s">
        <v>2203</v>
      </c>
      <c r="D563" s="27" t="s">
        <v>148</v>
      </c>
      <c r="E563" s="33" t="s">
        <v>148</v>
      </c>
      <c r="F563" s="31">
        <f t="shared" si="33"/>
        <v>1</v>
      </c>
      <c r="G563" s="27" t="s">
        <v>2204</v>
      </c>
      <c r="H563" s="33"/>
      <c r="I563" s="7" t="str">
        <f>IFERROR(__xludf.DUMMYFUNCTION("regexreplace(lower(C563), ""_"", """")"),"fluctuatetemptime")</f>
        <v>fluctuatetemptime</v>
      </c>
      <c r="J563" s="9" t="b">
        <f t="shared" si="2"/>
        <v>1</v>
      </c>
      <c r="K563" s="7" t="str">
        <f>IFERROR(__xludf.DUMMYFUNCTION("regexreplace(G563, ""_"", """")"),"fluctuatetemptime")</f>
        <v>fluctuatetemptime</v>
      </c>
      <c r="L563" s="33" t="s">
        <v>2205</v>
      </c>
      <c r="M563" s="33"/>
    </row>
    <row r="564">
      <c r="A564" s="33"/>
      <c r="B564" s="27" t="s">
        <v>2193</v>
      </c>
      <c r="C564" s="27" t="s">
        <v>2206</v>
      </c>
      <c r="D564" s="27" t="s">
        <v>154</v>
      </c>
      <c r="E564" s="33" t="s">
        <v>2207</v>
      </c>
      <c r="F564" s="31">
        <f t="shared" si="33"/>
        <v>1</v>
      </c>
      <c r="G564" s="27" t="s">
        <v>2208</v>
      </c>
      <c r="H564" s="33"/>
      <c r="I564" s="7" t="str">
        <f>IFERROR(__xludf.DUMMYFUNCTION("regexreplace(lower(C564), ""_"", """")"),"fluctuatetempskintemperaturec")</f>
        <v>fluctuatetempskintemperaturec</v>
      </c>
      <c r="J564" s="9" t="b">
        <f t="shared" si="2"/>
        <v>1</v>
      </c>
      <c r="K564" s="7" t="str">
        <f>IFERROR(__xludf.DUMMYFUNCTION("regexreplace(G564, ""_"", """")"),"fluctuatetempskintemperaturec")</f>
        <v>fluctuatetempskintemperaturec</v>
      </c>
      <c r="L564" s="33" t="s">
        <v>2209</v>
      </c>
      <c r="M564" s="33"/>
    </row>
    <row r="565">
      <c r="A565" s="33"/>
      <c r="B565" s="27" t="s">
        <v>2193</v>
      </c>
      <c r="C565" s="27" t="s">
        <v>2210</v>
      </c>
      <c r="D565" s="27" t="s">
        <v>154</v>
      </c>
      <c r="E565" s="33" t="s">
        <v>2211</v>
      </c>
      <c r="F565" s="31">
        <f t="shared" si="33"/>
        <v>1</v>
      </c>
      <c r="G565" s="27" t="s">
        <v>2212</v>
      </c>
      <c r="H565" s="33"/>
      <c r="I565" s="7" t="str">
        <f>IFERROR(__xludf.DUMMYFUNCTION("regexreplace(lower(C565), ""_"", """")"),"fluctuatetempaxillarytemperaturec")</f>
        <v>fluctuatetempaxillarytemperaturec</v>
      </c>
      <c r="J565" s="9" t="b">
        <f t="shared" si="2"/>
        <v>1</v>
      </c>
      <c r="K565" s="7" t="str">
        <f>IFERROR(__xludf.DUMMYFUNCTION("regexreplace(G565, ""_"", """")"),"fluctuatetempaxillarytemperaturec")</f>
        <v>fluctuatetempaxillarytemperaturec</v>
      </c>
      <c r="L565" s="33" t="s">
        <v>2213</v>
      </c>
      <c r="M565" s="33"/>
    </row>
    <row r="566">
      <c r="A566" s="33"/>
      <c r="B566" s="27" t="s">
        <v>2193</v>
      </c>
      <c r="C566" s="27" t="s">
        <v>2214</v>
      </c>
      <c r="D566" s="27" t="s">
        <v>154</v>
      </c>
      <c r="E566" s="33" t="s">
        <v>2215</v>
      </c>
      <c r="F566" s="31">
        <f t="shared" si="33"/>
        <v>1</v>
      </c>
      <c r="G566" s="27" t="s">
        <v>2216</v>
      </c>
      <c r="H566" s="33"/>
      <c r="I566" s="7" t="str">
        <f>IFERROR(__xludf.DUMMYFUNCTION("regexreplace(lower(C566), ""_"", """")"),"fluctuatetempesophagealtemperaturec")</f>
        <v>fluctuatetempesophagealtemperaturec</v>
      </c>
      <c r="J566" s="9" t="b">
        <f t="shared" si="2"/>
        <v>1</v>
      </c>
      <c r="K566" s="7" t="str">
        <f>IFERROR(__xludf.DUMMYFUNCTION("regexreplace(G566, ""_"", """")"),"fluctuatetempesophagealtemperaturec")</f>
        <v>fluctuatetempesophagealtemperaturec</v>
      </c>
      <c r="L566" s="33" t="s">
        <v>2217</v>
      </c>
      <c r="M566" s="33"/>
    </row>
    <row r="567">
      <c r="A567" s="33"/>
      <c r="B567" s="27" t="s">
        <v>2193</v>
      </c>
      <c r="C567" s="27" t="s">
        <v>2218</v>
      </c>
      <c r="D567" s="27" t="s">
        <v>154</v>
      </c>
      <c r="E567" s="33" t="s">
        <v>2219</v>
      </c>
      <c r="F567" s="31">
        <f t="shared" si="33"/>
        <v>1</v>
      </c>
      <c r="G567" s="27" t="s">
        <v>2220</v>
      </c>
      <c r="H567" s="33"/>
      <c r="I567" s="7" t="str">
        <f>IFERROR(__xludf.DUMMYFUNCTION("regexreplace(lower(C567), ""_"", """")"),"fluctuatetempblanketrolc")</f>
        <v>fluctuatetempblanketrolc</v>
      </c>
      <c r="J567" s="9" t="b">
        <f t="shared" si="2"/>
        <v>1</v>
      </c>
      <c r="K567" s="7" t="str">
        <f>IFERROR(__xludf.DUMMYFUNCTION("regexreplace(G567, ""_"", """")"),"fluctuatetempblanketrolc")</f>
        <v>fluctuatetempblanketrolc</v>
      </c>
      <c r="L567" s="33" t="s">
        <v>2221</v>
      </c>
      <c r="M567" s="33"/>
    </row>
    <row r="568">
      <c r="A568" s="33"/>
      <c r="B568" s="27" t="s">
        <v>2193</v>
      </c>
      <c r="C568" s="27" t="s">
        <v>2222</v>
      </c>
      <c r="D568" s="27" t="s">
        <v>154</v>
      </c>
      <c r="E568" s="33" t="s">
        <v>2166</v>
      </c>
      <c r="F568" s="31">
        <f t="shared" si="33"/>
        <v>1</v>
      </c>
      <c r="G568" s="27" t="s">
        <v>2223</v>
      </c>
      <c r="H568" s="33"/>
      <c r="I568" s="7" t="str">
        <f>IFERROR(__xludf.DUMMYFUNCTION("regexreplace(lower(C568), ""_"", """")"),"fluctuatetempservosetc")</f>
        <v>fluctuatetempservosetc</v>
      </c>
      <c r="J568" s="9" t="b">
        <f t="shared" si="2"/>
        <v>1</v>
      </c>
      <c r="K568" s="7" t="str">
        <f>IFERROR(__xludf.DUMMYFUNCTION("regexreplace(G568, ""_"", """")"),"fluctuatetempservosetc")</f>
        <v>fluctuatetempservosetc</v>
      </c>
      <c r="L568" s="33" t="s">
        <v>2224</v>
      </c>
      <c r="M568" s="33"/>
    </row>
    <row r="569">
      <c r="A569" s="12"/>
      <c r="B569" s="12"/>
      <c r="C569" s="13"/>
      <c r="D569" s="12"/>
      <c r="E569" s="12"/>
      <c r="F569" s="12"/>
      <c r="G569" s="12"/>
      <c r="H569" s="12"/>
      <c r="I569" s="13" t="str">
        <f>IFERROR(__xludf.DUMMYFUNCTION("regexreplace(lower(C569), ""_"", """")"),"")</f>
        <v/>
      </c>
      <c r="J569" s="14" t="str">
        <f t="shared" si="2"/>
        <v/>
      </c>
      <c r="K569" s="13" t="str">
        <f>IFERROR(__xludf.DUMMYFUNCTION("regexreplace(G569, ""_"", """")"),"")</f>
        <v/>
      </c>
      <c r="L569" s="12"/>
      <c r="M569" s="12"/>
    </row>
    <row r="570">
      <c r="A570" s="27" t="s">
        <v>1326</v>
      </c>
      <c r="B570" s="27" t="s">
        <v>2225</v>
      </c>
      <c r="C570" s="27" t="s">
        <v>2226</v>
      </c>
      <c r="D570" s="27" t="s">
        <v>34</v>
      </c>
      <c r="E570" s="33" t="s">
        <v>2227</v>
      </c>
      <c r="F570" s="31">
        <f t="shared" ref="F570:F579" si="34">counta(L570:M570)</f>
        <v>1</v>
      </c>
      <c r="G570" s="27" t="s">
        <v>2228</v>
      </c>
      <c r="H570" s="33"/>
      <c r="I570" s="7" t="str">
        <f>IFERROR(__xludf.DUMMYFUNCTION("regexreplace(lower(C570), ""_"", """")"),"bradycardiaeventnumber")</f>
        <v>bradycardiaeventnumber</v>
      </c>
      <c r="J570" s="9" t="b">
        <f t="shared" si="2"/>
        <v>1</v>
      </c>
      <c r="K570" s="7" t="str">
        <f>IFERROR(__xludf.DUMMYFUNCTION("regexreplace(G570, ""_"", """")"),"bradycardiaeventnumber")</f>
        <v>bradycardiaeventnumber</v>
      </c>
      <c r="L570" s="33"/>
      <c r="M570" s="33" t="s">
        <v>2229</v>
      </c>
    </row>
    <row r="571">
      <c r="A571" s="33"/>
      <c r="B571" s="27" t="s">
        <v>2225</v>
      </c>
      <c r="C571" s="32" t="s">
        <v>2230</v>
      </c>
      <c r="D571" s="27" t="s">
        <v>43</v>
      </c>
      <c r="E571" s="33" t="s">
        <v>2231</v>
      </c>
      <c r="F571" s="31">
        <f t="shared" si="34"/>
        <v>1</v>
      </c>
      <c r="G571" s="32" t="s">
        <v>2232</v>
      </c>
      <c r="H571" s="33"/>
      <c r="I571" s="7" t="str">
        <f>IFERROR(__xludf.DUMMYFUNCTION("regexreplace(lower(C571), ""_"", """")"),"bradycardialess70greater15min")</f>
        <v>bradycardialess70greater15min</v>
      </c>
      <c r="J571" s="9" t="b">
        <f t="shared" si="2"/>
        <v>1</v>
      </c>
      <c r="K571" s="7" t="str">
        <f>IFERROR(__xludf.DUMMYFUNCTION("regexreplace(G571, ""_"", """")"),"bradycardialess70greater15min")</f>
        <v>bradycardialess70greater15min</v>
      </c>
      <c r="L571" s="33"/>
      <c r="M571" s="33" t="s">
        <v>2233</v>
      </c>
    </row>
    <row r="572">
      <c r="A572" s="33"/>
      <c r="B572" s="27" t="s">
        <v>2225</v>
      </c>
      <c r="C572" s="27" t="s">
        <v>2234</v>
      </c>
      <c r="D572" s="27" t="s">
        <v>43</v>
      </c>
      <c r="E572" s="33" t="s">
        <v>2235</v>
      </c>
      <c r="F572" s="31">
        <f t="shared" si="34"/>
        <v>1</v>
      </c>
      <c r="G572" s="27" t="s">
        <v>2236</v>
      </c>
      <c r="H572" s="33"/>
      <c r="I572" s="7" t="str">
        <f>IFERROR(__xludf.DUMMYFUNCTION("regexreplace(lower(C572), ""_"", """")"),"bradycardiaekg")</f>
        <v>bradycardiaekg</v>
      </c>
      <c r="J572" s="9" t="b">
        <f t="shared" si="2"/>
        <v>1</v>
      </c>
      <c r="K572" s="7" t="str">
        <f>IFERROR(__xludf.DUMMYFUNCTION("regexreplace(G572, ""_"", """")"),"bradycardiaekg")</f>
        <v>bradycardiaekg</v>
      </c>
      <c r="L572" s="33"/>
      <c r="M572" s="33" t="s">
        <v>2237</v>
      </c>
    </row>
    <row r="573">
      <c r="A573" s="33"/>
      <c r="B573" s="27" t="s">
        <v>2225</v>
      </c>
      <c r="C573" s="27" t="s">
        <v>2238</v>
      </c>
      <c r="D573" s="27" t="s">
        <v>2238</v>
      </c>
      <c r="E573" s="33" t="s">
        <v>2239</v>
      </c>
      <c r="F573" s="31">
        <f t="shared" si="34"/>
        <v>1</v>
      </c>
      <c r="G573" s="27" t="s">
        <v>2240</v>
      </c>
      <c r="H573" s="33"/>
      <c r="I573" s="7" t="str">
        <f>IFERROR(__xludf.DUMMYFUNCTION("regexreplace(lower(C573), ""_"", """")"),"bradycardiaekgresult")</f>
        <v>bradycardiaekgresult</v>
      </c>
      <c r="J573" s="9" t="b">
        <f t="shared" si="2"/>
        <v>1</v>
      </c>
      <c r="K573" s="7" t="str">
        <f>IFERROR(__xludf.DUMMYFUNCTION("regexreplace(G573, ""_"", """")"),"bradycardiaekgresult")</f>
        <v>bradycardiaekgresult</v>
      </c>
      <c r="L573" s="33"/>
      <c r="M573" s="33" t="s">
        <v>2241</v>
      </c>
    </row>
    <row r="574">
      <c r="A574" s="33"/>
      <c r="B574" s="27" t="s">
        <v>2225</v>
      </c>
      <c r="C574" s="27" t="s">
        <v>2242</v>
      </c>
      <c r="D574" s="27" t="s">
        <v>19</v>
      </c>
      <c r="E574" s="33" t="s">
        <v>2243</v>
      </c>
      <c r="F574" s="31">
        <f t="shared" si="34"/>
        <v>1</v>
      </c>
      <c r="G574" s="27" t="s">
        <v>2244</v>
      </c>
      <c r="H574" s="33"/>
      <c r="I574" s="7" t="str">
        <f>IFERROR(__xludf.DUMMYFUNCTION("regexreplace(lower(C574), ""_"", """")"),"bradycardiaekgresultothertext")</f>
        <v>bradycardiaekgresultothertext</v>
      </c>
      <c r="J574" s="9" t="b">
        <f t="shared" si="2"/>
        <v>1</v>
      </c>
      <c r="K574" s="7" t="str">
        <f>IFERROR(__xludf.DUMMYFUNCTION("regexreplace(G574, ""_"", """")"),"bradycardiaekgresultothertext")</f>
        <v>bradycardiaekgresultothertext</v>
      </c>
      <c r="L574" s="33"/>
      <c r="M574" s="33" t="s">
        <v>2245</v>
      </c>
    </row>
    <row r="575">
      <c r="A575" s="33"/>
      <c r="B575" s="27" t="s">
        <v>2225</v>
      </c>
      <c r="C575" s="27" t="s">
        <v>2246</v>
      </c>
      <c r="D575" s="27" t="s">
        <v>43</v>
      </c>
      <c r="E575" s="33" t="s">
        <v>2247</v>
      </c>
      <c r="F575" s="31">
        <f t="shared" si="34"/>
        <v>1</v>
      </c>
      <c r="G575" s="27" t="s">
        <v>2248</v>
      </c>
      <c r="H575" s="33"/>
      <c r="I575" s="7" t="str">
        <f>IFERROR(__xludf.DUMMYFUNCTION("regexreplace(lower(C575), ""_"", """")"),"bradycardiaantiarrhythmiamedication")</f>
        <v>bradycardiaantiarrhythmiamedication</v>
      </c>
      <c r="J575" s="9" t="b">
        <f t="shared" si="2"/>
        <v>1</v>
      </c>
      <c r="K575" s="7" t="str">
        <f>IFERROR(__xludf.DUMMYFUNCTION("regexreplace(G575, ""_"", """")"),"bradycardiaantiarrhythmiamedication")</f>
        <v>bradycardiaantiarrhythmiamedication</v>
      </c>
      <c r="L575" s="33"/>
      <c r="M575" s="33" t="s">
        <v>2249</v>
      </c>
    </row>
    <row r="576">
      <c r="A576" s="33"/>
      <c r="B576" s="27" t="s">
        <v>2225</v>
      </c>
      <c r="C576" s="27" t="s">
        <v>2250</v>
      </c>
      <c r="D576" s="27" t="s">
        <v>29</v>
      </c>
      <c r="E576" s="33" t="s">
        <v>2251</v>
      </c>
      <c r="F576" s="31">
        <f t="shared" si="34"/>
        <v>1</v>
      </c>
      <c r="G576" s="27" t="s">
        <v>2252</v>
      </c>
      <c r="H576" s="33"/>
      <c r="I576" s="7" t="str">
        <f>IFERROR(__xludf.DUMMYFUNCTION("regexreplace(lower(C576), ""_"", """")"),"bradycardiadate")</f>
        <v>bradycardiadate</v>
      </c>
      <c r="J576" s="9" t="b">
        <f t="shared" si="2"/>
        <v>1</v>
      </c>
      <c r="K576" s="7" t="str">
        <f>IFERROR(__xludf.DUMMYFUNCTION("regexreplace(G576, ""_"", """")"),"bradycardiadate")</f>
        <v>bradycardiadate</v>
      </c>
      <c r="L576" s="33"/>
      <c r="M576" s="33" t="s">
        <v>2253</v>
      </c>
    </row>
    <row r="577">
      <c r="A577" s="33"/>
      <c r="B577" s="27" t="s">
        <v>2225</v>
      </c>
      <c r="C577" s="27" t="s">
        <v>2254</v>
      </c>
      <c r="D577" s="27" t="s">
        <v>148</v>
      </c>
      <c r="E577" s="33" t="s">
        <v>2255</v>
      </c>
      <c r="F577" s="31">
        <f t="shared" si="34"/>
        <v>1</v>
      </c>
      <c r="G577" s="27" t="s">
        <v>2256</v>
      </c>
      <c r="H577" s="33"/>
      <c r="I577" s="7" t="str">
        <f>IFERROR(__xludf.DUMMYFUNCTION("regexreplace(lower(C577), ""_"", """")"),"bradycardiatime")</f>
        <v>bradycardiatime</v>
      </c>
      <c r="J577" s="9" t="b">
        <f t="shared" si="2"/>
        <v>1</v>
      </c>
      <c r="K577" s="7" t="str">
        <f>IFERROR(__xludf.DUMMYFUNCTION("regexreplace(G577, ""_"", """")"),"bradycardiatime")</f>
        <v>bradycardiatime</v>
      </c>
      <c r="L577" s="33"/>
      <c r="M577" s="33" t="s">
        <v>2257</v>
      </c>
    </row>
    <row r="578">
      <c r="A578" s="33"/>
      <c r="B578" s="27" t="s">
        <v>2225</v>
      </c>
      <c r="C578" s="27" t="s">
        <v>2258</v>
      </c>
      <c r="D578" s="27" t="s">
        <v>2258</v>
      </c>
      <c r="E578" s="33" t="s">
        <v>2259</v>
      </c>
      <c r="F578" s="31">
        <f t="shared" si="34"/>
        <v>1</v>
      </c>
      <c r="G578" s="27" t="s">
        <v>2260</v>
      </c>
      <c r="H578" s="33"/>
      <c r="I578" s="7" t="str">
        <f>IFERROR(__xludf.DUMMYFUNCTION("regexreplace(lower(C578), ""_"", """")"),"bradycardiaduration")</f>
        <v>bradycardiaduration</v>
      </c>
      <c r="J578" s="9" t="b">
        <f t="shared" si="2"/>
        <v>1</v>
      </c>
      <c r="K578" s="7" t="str">
        <f>IFERROR(__xludf.DUMMYFUNCTION("regexreplace(G578, ""_"", """")"),"bradycardiaduration")</f>
        <v>bradycardiaduration</v>
      </c>
      <c r="L578" s="33"/>
      <c r="M578" s="33" t="s">
        <v>2261</v>
      </c>
    </row>
    <row r="579">
      <c r="A579" s="33"/>
      <c r="B579" s="27" t="s">
        <v>2225</v>
      </c>
      <c r="C579" s="27" t="s">
        <v>2262</v>
      </c>
      <c r="D579" s="27" t="s">
        <v>2262</v>
      </c>
      <c r="E579" s="33" t="s">
        <v>2263</v>
      </c>
      <c r="F579" s="31">
        <f t="shared" si="34"/>
        <v>1</v>
      </c>
      <c r="G579" s="27" t="s">
        <v>2264</v>
      </c>
      <c r="H579" s="33"/>
      <c r="I579" s="7" t="str">
        <f>IFERROR(__xludf.DUMMYFUNCTION("regexreplace(lower(C579), ""_"", """")"),"bradycardiaheartratemin")</f>
        <v>bradycardiaheartratemin</v>
      </c>
      <c r="J579" s="9" t="b">
        <f t="shared" si="2"/>
        <v>1</v>
      </c>
      <c r="K579" s="7" t="str">
        <f>IFERROR(__xludf.DUMMYFUNCTION("regexreplace(G579, ""_"", """")"),"bradycardiaheartratemin")</f>
        <v>bradycardiaheartratemin</v>
      </c>
      <c r="L579" s="33"/>
      <c r="M579" s="33" t="s">
        <v>2265</v>
      </c>
    </row>
    <row r="580">
      <c r="A580" s="12"/>
      <c r="B580" s="12"/>
      <c r="C580" s="13"/>
      <c r="D580" s="12"/>
      <c r="E580" s="12"/>
      <c r="F580" s="12"/>
      <c r="G580" s="12"/>
      <c r="H580" s="12"/>
      <c r="I580" s="13" t="str">
        <f>IFERROR(__xludf.DUMMYFUNCTION("regexreplace(lower(C580), ""_"", """")"),"")</f>
        <v/>
      </c>
      <c r="J580" s="14" t="str">
        <f t="shared" si="2"/>
        <v/>
      </c>
      <c r="K580" s="13" t="str">
        <f>IFERROR(__xludf.DUMMYFUNCTION("regexreplace(G580, ""_"", """")"),"")</f>
        <v/>
      </c>
      <c r="L580" s="12"/>
      <c r="M580" s="12"/>
    </row>
    <row r="581">
      <c r="A581" s="27" t="s">
        <v>1326</v>
      </c>
      <c r="B581" s="27" t="s">
        <v>2266</v>
      </c>
      <c r="C581" s="27" t="s">
        <v>2267</v>
      </c>
      <c r="D581" s="27" t="s">
        <v>34</v>
      </c>
      <c r="E581" s="33" t="s">
        <v>2268</v>
      </c>
      <c r="F581" s="31">
        <f t="shared" ref="F581:F635" si="35">counta(L581:M581)</f>
        <v>2</v>
      </c>
      <c r="G581" s="27" t="s">
        <v>2269</v>
      </c>
      <c r="H581" s="33"/>
      <c r="I581" s="7" t="str">
        <f>IFERROR(__xludf.DUMMYFUNCTION("regexreplace(lower(C581), ""_"", """")"),"adverseeventnumber")</f>
        <v>adverseeventnumber</v>
      </c>
      <c r="J581" s="9" t="b">
        <f t="shared" si="2"/>
        <v>1</v>
      </c>
      <c r="K581" s="7" t="str">
        <f>IFERROR(__xludf.DUMMYFUNCTION("regexreplace(G581, ""_"", """")"),"adverseeventnumber")</f>
        <v>adverseeventnumber</v>
      </c>
      <c r="L581" s="33" t="s">
        <v>2270</v>
      </c>
      <c r="M581" s="33" t="s">
        <v>2271</v>
      </c>
    </row>
    <row r="582">
      <c r="A582" s="33"/>
      <c r="B582" s="27" t="s">
        <v>2266</v>
      </c>
      <c r="C582" s="27" t="s">
        <v>2272</v>
      </c>
      <c r="D582" s="27" t="s">
        <v>29</v>
      </c>
      <c r="E582" s="30" t="s">
        <v>2273</v>
      </c>
      <c r="F582" s="31">
        <f t="shared" si="35"/>
        <v>2</v>
      </c>
      <c r="G582" s="27" t="s">
        <v>2274</v>
      </c>
      <c r="H582" s="33"/>
      <c r="I582" s="7" t="str">
        <f>IFERROR(__xludf.DUMMYFUNCTION("regexreplace(lower(C582), ""_"", """")"),"saecardiacexperienceonsetdate")</f>
        <v>saecardiacexperienceonsetdate</v>
      </c>
      <c r="J582" s="9" t="b">
        <f t="shared" si="2"/>
        <v>1</v>
      </c>
      <c r="K582" s="7" t="str">
        <f>IFERROR(__xludf.DUMMYFUNCTION("regexreplace(G582, ""_"", """")"),"saecardiacexperienceonsetdate")</f>
        <v>saecardiacexperienceonsetdate</v>
      </c>
      <c r="L582" s="33" t="s">
        <v>2275</v>
      </c>
      <c r="M582" s="33" t="s">
        <v>2276</v>
      </c>
    </row>
    <row r="583">
      <c r="A583" s="33"/>
      <c r="B583" s="27" t="s">
        <v>2266</v>
      </c>
      <c r="C583" s="27" t="s">
        <v>2277</v>
      </c>
      <c r="D583" s="27" t="s">
        <v>148</v>
      </c>
      <c r="E583" s="30" t="s">
        <v>2278</v>
      </c>
      <c r="F583" s="31">
        <f t="shared" si="35"/>
        <v>2</v>
      </c>
      <c r="G583" s="27" t="s">
        <v>2279</v>
      </c>
      <c r="H583" s="33"/>
      <c r="I583" s="7" t="str">
        <f>IFERROR(__xludf.DUMMYFUNCTION("regexreplace(lower(C583), ""_"", """")"),"saecardiacexperienceonsettime")</f>
        <v>saecardiacexperienceonsettime</v>
      </c>
      <c r="J583" s="9" t="b">
        <f t="shared" si="2"/>
        <v>1</v>
      </c>
      <c r="K583" s="7" t="str">
        <f>IFERROR(__xludf.DUMMYFUNCTION("regexreplace(G583, ""_"", """")"),"saecardiacexperienceonsettime")</f>
        <v>saecardiacexperienceonsettime</v>
      </c>
      <c r="L583" s="33" t="s">
        <v>2280</v>
      </c>
      <c r="M583" s="33" t="s">
        <v>2281</v>
      </c>
    </row>
    <row r="584">
      <c r="A584" s="33"/>
      <c r="B584" s="27" t="s">
        <v>2266</v>
      </c>
      <c r="C584" s="27" t="s">
        <v>2282</v>
      </c>
      <c r="D584" s="27" t="s">
        <v>29</v>
      </c>
      <c r="E584" s="30" t="s">
        <v>2283</v>
      </c>
      <c r="F584" s="31">
        <f t="shared" si="35"/>
        <v>2</v>
      </c>
      <c r="G584" s="27" t="s">
        <v>2284</v>
      </c>
      <c r="H584" s="33"/>
      <c r="I584" s="7" t="str">
        <f>IFERROR(__xludf.DUMMYFUNCTION("regexreplace(lower(C584), ""_"", """")"),"saecardiacexperienceresolvedate")</f>
        <v>saecardiacexperienceresolvedate</v>
      </c>
      <c r="J584" s="9" t="b">
        <f t="shared" si="2"/>
        <v>1</v>
      </c>
      <c r="K584" s="7" t="str">
        <f>IFERROR(__xludf.DUMMYFUNCTION("regexreplace(G584, ""_"", """")"),"saecardiacexperienceresolvedate")</f>
        <v>saecardiacexperienceresolvedate</v>
      </c>
      <c r="L584" s="33" t="s">
        <v>2285</v>
      </c>
      <c r="M584" s="33" t="s">
        <v>2286</v>
      </c>
    </row>
    <row r="585">
      <c r="A585" s="33"/>
      <c r="B585" s="27" t="s">
        <v>2266</v>
      </c>
      <c r="C585" s="27" t="s">
        <v>2287</v>
      </c>
      <c r="D585" s="27" t="s">
        <v>148</v>
      </c>
      <c r="E585" s="30" t="s">
        <v>2288</v>
      </c>
      <c r="F585" s="31">
        <f t="shared" si="35"/>
        <v>2</v>
      </c>
      <c r="G585" s="27" t="s">
        <v>2289</v>
      </c>
      <c r="H585" s="33"/>
      <c r="I585" s="7" t="str">
        <f>IFERROR(__xludf.DUMMYFUNCTION("regexreplace(lower(C585), ""_"", """")"),"saecardiacexperienceresolvetime")</f>
        <v>saecardiacexperienceresolvetime</v>
      </c>
      <c r="J585" s="9" t="b">
        <f t="shared" si="2"/>
        <v>1</v>
      </c>
      <c r="K585" s="7" t="str">
        <f>IFERROR(__xludf.DUMMYFUNCTION("regexreplace(G585, ""_"", """")"),"saecardiacexperienceresolvetime")</f>
        <v>saecardiacexperienceresolvetime</v>
      </c>
      <c r="L585" s="33" t="s">
        <v>2290</v>
      </c>
      <c r="M585" s="33" t="s">
        <v>2291</v>
      </c>
    </row>
    <row r="586">
      <c r="A586" s="33"/>
      <c r="B586" s="27" t="s">
        <v>2266</v>
      </c>
      <c r="C586" s="27" t="s">
        <v>2292</v>
      </c>
      <c r="D586" s="27" t="s">
        <v>2293</v>
      </c>
      <c r="E586" s="33" t="s">
        <v>2294</v>
      </c>
      <c r="F586" s="31">
        <f t="shared" si="35"/>
        <v>2</v>
      </c>
      <c r="G586" s="27" t="s">
        <v>2295</v>
      </c>
      <c r="H586" s="33"/>
      <c r="I586" s="7" t="str">
        <f>IFERROR(__xludf.DUMMYFUNCTION("regexreplace(lower(C586), ""_"", """")"),"saecardiacexperienceduetohypothermia")</f>
        <v>saecardiacexperienceduetohypothermia</v>
      </c>
      <c r="J586" s="9" t="b">
        <f t="shared" si="2"/>
        <v>1</v>
      </c>
      <c r="K586" s="7" t="str">
        <f>IFERROR(__xludf.DUMMYFUNCTION("regexreplace(G586, ""_"", """")"),"saecardiacexperienceduetohypothermia")</f>
        <v>saecardiacexperienceduetohypothermia</v>
      </c>
      <c r="L586" s="33" t="s">
        <v>2296</v>
      </c>
      <c r="M586" s="33" t="s">
        <v>2297</v>
      </c>
    </row>
    <row r="587">
      <c r="A587" s="33"/>
      <c r="B587" s="27" t="s">
        <v>2266</v>
      </c>
      <c r="C587" s="27" t="s">
        <v>2298</v>
      </c>
      <c r="D587" s="27" t="s">
        <v>2299</v>
      </c>
      <c r="E587" s="33" t="s">
        <v>2300</v>
      </c>
      <c r="F587" s="31">
        <f t="shared" si="35"/>
        <v>2</v>
      </c>
      <c r="G587" s="27" t="s">
        <v>2301</v>
      </c>
      <c r="H587" s="33"/>
      <c r="I587" s="7" t="str">
        <f>IFERROR(__xludf.DUMMYFUNCTION("regexreplace(lower(C587), ""_"", """")"),"saecardiacexperienceactiontaken")</f>
        <v>saecardiacexperienceactiontaken</v>
      </c>
      <c r="J587" s="9" t="b">
        <f t="shared" si="2"/>
        <v>1</v>
      </c>
      <c r="K587" s="7" t="str">
        <f>IFERROR(__xludf.DUMMYFUNCTION("regexreplace(G587, ""_"", """")"),"saecardiacexperienceactiontaken")</f>
        <v>saecardiacexperienceactiontaken</v>
      </c>
      <c r="L587" s="33" t="s">
        <v>2302</v>
      </c>
      <c r="M587" s="33" t="s">
        <v>2303</v>
      </c>
    </row>
    <row r="588">
      <c r="A588" s="33"/>
      <c r="B588" s="27" t="s">
        <v>2266</v>
      </c>
      <c r="C588" s="27" t="s">
        <v>2304</v>
      </c>
      <c r="D588" s="27" t="s">
        <v>2305</v>
      </c>
      <c r="E588" s="33" t="s">
        <v>2306</v>
      </c>
      <c r="F588" s="31">
        <f t="shared" si="35"/>
        <v>2</v>
      </c>
      <c r="G588" s="27" t="s">
        <v>2307</v>
      </c>
      <c r="H588" s="33"/>
      <c r="I588" s="7" t="str">
        <f>IFERROR(__xludf.DUMMYFUNCTION("regexreplace(lower(C588), ""_"", """")"),"saecardiacexperienceoutcome")</f>
        <v>saecardiacexperienceoutcome</v>
      </c>
      <c r="J588" s="9" t="b">
        <f t="shared" si="2"/>
        <v>1</v>
      </c>
      <c r="K588" s="7" t="str">
        <f>IFERROR(__xludf.DUMMYFUNCTION("regexreplace(G588, ""_"", """")"),"saecardiacexperienceoutcome")</f>
        <v>saecardiacexperienceoutcome</v>
      </c>
      <c r="L588" s="33" t="s">
        <v>2308</v>
      </c>
      <c r="M588" s="33" t="s">
        <v>2309</v>
      </c>
    </row>
    <row r="589">
      <c r="A589" s="33"/>
      <c r="B589" s="27" t="s">
        <v>2266</v>
      </c>
      <c r="C589" s="27" t="s">
        <v>2310</v>
      </c>
      <c r="D589" s="27" t="s">
        <v>19</v>
      </c>
      <c r="E589" s="33" t="s">
        <v>2311</v>
      </c>
      <c r="F589" s="31">
        <f t="shared" si="35"/>
        <v>2</v>
      </c>
      <c r="G589" s="27" t="s">
        <v>2312</v>
      </c>
      <c r="H589" s="33"/>
      <c r="I589" s="7" t="str">
        <f>IFERROR(__xludf.DUMMYFUNCTION("regexreplace(lower(C589), ""_"", """")"),"saecardiacexperiencecomment")</f>
        <v>saecardiacexperiencecomment</v>
      </c>
      <c r="J589" s="9" t="b">
        <f t="shared" si="2"/>
        <v>1</v>
      </c>
      <c r="K589" s="7" t="str">
        <f>IFERROR(__xludf.DUMMYFUNCTION("regexreplace(G589, ""_"", """")"),"saecardiacexperiencecomment")</f>
        <v>saecardiacexperiencecomment</v>
      </c>
      <c r="L589" s="33" t="s">
        <v>2313</v>
      </c>
      <c r="M589" s="33" t="s">
        <v>2314</v>
      </c>
    </row>
    <row r="590">
      <c r="A590" s="33"/>
      <c r="B590" s="27" t="s">
        <v>2266</v>
      </c>
      <c r="C590" s="27" t="s">
        <v>2315</v>
      </c>
      <c r="D590" s="27" t="s">
        <v>29</v>
      </c>
      <c r="E590" s="30" t="s">
        <v>2316</v>
      </c>
      <c r="F590" s="31">
        <f t="shared" si="35"/>
        <v>2</v>
      </c>
      <c r="G590" s="27" t="s">
        <v>2317</v>
      </c>
      <c r="H590" s="33"/>
      <c r="I590" s="7" t="str">
        <f>IFERROR(__xludf.DUMMYFUNCTION("regexreplace(lower(C590), ""_"", """")"),"saemetabolicacidosisonsetdate")</f>
        <v>saemetabolicacidosisonsetdate</v>
      </c>
      <c r="J590" s="9" t="b">
        <f t="shared" si="2"/>
        <v>1</v>
      </c>
      <c r="K590" s="7" t="str">
        <f>IFERROR(__xludf.DUMMYFUNCTION("regexreplace(G590, ""_"", """")"),"saemetabolicacidosisonsetdate")</f>
        <v>saemetabolicacidosisonsetdate</v>
      </c>
      <c r="L590" s="33" t="s">
        <v>2318</v>
      </c>
      <c r="M590" s="33" t="s">
        <v>2319</v>
      </c>
    </row>
    <row r="591">
      <c r="A591" s="33"/>
      <c r="B591" s="27" t="s">
        <v>2266</v>
      </c>
      <c r="C591" s="27" t="s">
        <v>2320</v>
      </c>
      <c r="D591" s="27" t="s">
        <v>148</v>
      </c>
      <c r="E591" s="30" t="s">
        <v>2321</v>
      </c>
      <c r="F591" s="31">
        <f t="shared" si="35"/>
        <v>2</v>
      </c>
      <c r="G591" s="27" t="s">
        <v>2322</v>
      </c>
      <c r="H591" s="33"/>
      <c r="I591" s="7" t="str">
        <f>IFERROR(__xludf.DUMMYFUNCTION("regexreplace(lower(C591), ""_"", """")"),"saemetabolicacidosisonsettime")</f>
        <v>saemetabolicacidosisonsettime</v>
      </c>
      <c r="J591" s="9" t="b">
        <f t="shared" si="2"/>
        <v>1</v>
      </c>
      <c r="K591" s="7" t="str">
        <f>IFERROR(__xludf.DUMMYFUNCTION("regexreplace(G591, ""_"", """")"),"saemetabolicacidosisonsettime")</f>
        <v>saemetabolicacidosisonsettime</v>
      </c>
      <c r="L591" s="33" t="s">
        <v>2323</v>
      </c>
      <c r="M591" s="33" t="s">
        <v>2324</v>
      </c>
    </row>
    <row r="592">
      <c r="A592" s="33"/>
      <c r="B592" s="27" t="s">
        <v>2266</v>
      </c>
      <c r="C592" s="27" t="s">
        <v>2325</v>
      </c>
      <c r="D592" s="27" t="s">
        <v>29</v>
      </c>
      <c r="E592" s="30" t="s">
        <v>2326</v>
      </c>
      <c r="F592" s="31">
        <f t="shared" si="35"/>
        <v>2</v>
      </c>
      <c r="G592" s="27" t="s">
        <v>2327</v>
      </c>
      <c r="H592" s="33"/>
      <c r="I592" s="7" t="str">
        <f>IFERROR(__xludf.DUMMYFUNCTION("regexreplace(lower(C592), ""_"", """")"),"saemetabolicacidosisresolvedate")</f>
        <v>saemetabolicacidosisresolvedate</v>
      </c>
      <c r="J592" s="9" t="b">
        <f t="shared" si="2"/>
        <v>1</v>
      </c>
      <c r="K592" s="7" t="str">
        <f>IFERROR(__xludf.DUMMYFUNCTION("regexreplace(G592, ""_"", """")"),"saemetabolicacidosisresolvedate")</f>
        <v>saemetabolicacidosisresolvedate</v>
      </c>
      <c r="L592" s="33" t="s">
        <v>2328</v>
      </c>
      <c r="M592" s="33" t="s">
        <v>2329</v>
      </c>
    </row>
    <row r="593">
      <c r="A593" s="33"/>
      <c r="B593" s="27" t="s">
        <v>2266</v>
      </c>
      <c r="C593" s="27" t="s">
        <v>2330</v>
      </c>
      <c r="D593" s="27" t="s">
        <v>148</v>
      </c>
      <c r="E593" s="30" t="s">
        <v>2331</v>
      </c>
      <c r="F593" s="31">
        <f t="shared" si="35"/>
        <v>2</v>
      </c>
      <c r="G593" s="27" t="s">
        <v>2332</v>
      </c>
      <c r="H593" s="33"/>
      <c r="I593" s="7" t="str">
        <f>IFERROR(__xludf.DUMMYFUNCTION("regexreplace(lower(C593), ""_"", """")"),"saemetabolicacidosisresolvetime")</f>
        <v>saemetabolicacidosisresolvetime</v>
      </c>
      <c r="J593" s="9" t="b">
        <f t="shared" si="2"/>
        <v>1</v>
      </c>
      <c r="K593" s="7" t="str">
        <f>IFERROR(__xludf.DUMMYFUNCTION("regexreplace(G593, ""_"", """")"),"saemetabolicacidosisresolvetime")</f>
        <v>saemetabolicacidosisresolvetime</v>
      </c>
      <c r="L593" s="33" t="s">
        <v>2333</v>
      </c>
      <c r="M593" s="33" t="s">
        <v>2334</v>
      </c>
    </row>
    <row r="594">
      <c r="A594" s="33"/>
      <c r="B594" s="27" t="s">
        <v>2266</v>
      </c>
      <c r="C594" s="27" t="s">
        <v>2335</v>
      </c>
      <c r="D594" s="27" t="s">
        <v>2293</v>
      </c>
      <c r="E594" s="33" t="s">
        <v>2336</v>
      </c>
      <c r="F594" s="31">
        <f t="shared" si="35"/>
        <v>2</v>
      </c>
      <c r="G594" s="27" t="s">
        <v>2337</v>
      </c>
      <c r="H594" s="33"/>
      <c r="I594" s="7" t="str">
        <f>IFERROR(__xludf.DUMMYFUNCTION("regexreplace(lower(C594), ""_"", """")"),"saemetabolicacidosisduetohypothermia")</f>
        <v>saemetabolicacidosisduetohypothermia</v>
      </c>
      <c r="J594" s="9" t="b">
        <f t="shared" si="2"/>
        <v>1</v>
      </c>
      <c r="K594" s="7" t="str">
        <f>IFERROR(__xludf.DUMMYFUNCTION("regexreplace(G594, ""_"", """")"),"saemetabolicacidosisduetohypothermia")</f>
        <v>saemetabolicacidosisduetohypothermia</v>
      </c>
      <c r="L594" s="33" t="s">
        <v>2338</v>
      </c>
      <c r="M594" s="33" t="s">
        <v>2339</v>
      </c>
    </row>
    <row r="595">
      <c r="A595" s="33"/>
      <c r="B595" s="27" t="s">
        <v>2266</v>
      </c>
      <c r="C595" s="27" t="s">
        <v>2340</v>
      </c>
      <c r="D595" s="27" t="s">
        <v>2299</v>
      </c>
      <c r="E595" s="33" t="s">
        <v>2341</v>
      </c>
      <c r="F595" s="31">
        <f t="shared" si="35"/>
        <v>2</v>
      </c>
      <c r="G595" s="27" t="s">
        <v>2342</v>
      </c>
      <c r="H595" s="33"/>
      <c r="I595" s="7" t="str">
        <f>IFERROR(__xludf.DUMMYFUNCTION("regexreplace(lower(C595), ""_"", """")"),"saemetabolicacidosisactiontaken")</f>
        <v>saemetabolicacidosisactiontaken</v>
      </c>
      <c r="J595" s="9" t="b">
        <f t="shared" si="2"/>
        <v>1</v>
      </c>
      <c r="K595" s="7" t="str">
        <f>IFERROR(__xludf.DUMMYFUNCTION("regexreplace(G595, ""_"", """")"),"saemetabolicacidosisactiontaken")</f>
        <v>saemetabolicacidosisactiontaken</v>
      </c>
      <c r="L595" s="33" t="s">
        <v>2343</v>
      </c>
      <c r="M595" s="33" t="s">
        <v>2344</v>
      </c>
    </row>
    <row r="596">
      <c r="A596" s="33"/>
      <c r="B596" s="27" t="s">
        <v>2266</v>
      </c>
      <c r="C596" s="27" t="s">
        <v>2345</v>
      </c>
      <c r="D596" s="27" t="s">
        <v>2305</v>
      </c>
      <c r="E596" s="33" t="s">
        <v>2346</v>
      </c>
      <c r="F596" s="31">
        <f t="shared" si="35"/>
        <v>2</v>
      </c>
      <c r="G596" s="27" t="s">
        <v>2347</v>
      </c>
      <c r="H596" s="33"/>
      <c r="I596" s="7" t="str">
        <f>IFERROR(__xludf.DUMMYFUNCTION("regexreplace(lower(C596), ""_"", """")"),"saemetabolicacidosisoutcome")</f>
        <v>saemetabolicacidosisoutcome</v>
      </c>
      <c r="J596" s="9" t="b">
        <f t="shared" si="2"/>
        <v>1</v>
      </c>
      <c r="K596" s="7" t="str">
        <f>IFERROR(__xludf.DUMMYFUNCTION("regexreplace(G596, ""_"", """")"),"saemetabolicacidosisoutcome")</f>
        <v>saemetabolicacidosisoutcome</v>
      </c>
      <c r="L596" s="33" t="s">
        <v>2348</v>
      </c>
      <c r="M596" s="33" t="s">
        <v>2349</v>
      </c>
    </row>
    <row r="597">
      <c r="A597" s="33"/>
      <c r="B597" s="27" t="s">
        <v>2266</v>
      </c>
      <c r="C597" s="27" t="s">
        <v>2350</v>
      </c>
      <c r="D597" s="27" t="s">
        <v>19</v>
      </c>
      <c r="E597" s="33" t="s">
        <v>2351</v>
      </c>
      <c r="F597" s="31">
        <f t="shared" si="35"/>
        <v>2</v>
      </c>
      <c r="G597" s="27" t="s">
        <v>2352</v>
      </c>
      <c r="H597" s="33"/>
      <c r="I597" s="7" t="str">
        <f>IFERROR(__xludf.DUMMYFUNCTION("regexreplace(lower(C597), ""_"", """")"),"saemetabolicacidosiscomment")</f>
        <v>saemetabolicacidosiscomment</v>
      </c>
      <c r="J597" s="9" t="b">
        <f t="shared" si="2"/>
        <v>1</v>
      </c>
      <c r="K597" s="7" t="str">
        <f>IFERROR(__xludf.DUMMYFUNCTION("regexreplace(G597, ""_"", """")"),"saemetabolicacidosiscomment")</f>
        <v>saemetabolicacidosiscomment</v>
      </c>
      <c r="L597" s="33" t="s">
        <v>2353</v>
      </c>
      <c r="M597" s="33" t="s">
        <v>2354</v>
      </c>
    </row>
    <row r="598">
      <c r="A598" s="33"/>
      <c r="B598" s="27" t="s">
        <v>2266</v>
      </c>
      <c r="C598" s="27" t="s">
        <v>2355</v>
      </c>
      <c r="D598" s="27" t="s">
        <v>29</v>
      </c>
      <c r="E598" s="30" t="s">
        <v>2356</v>
      </c>
      <c r="F598" s="31">
        <f t="shared" si="35"/>
        <v>2</v>
      </c>
      <c r="G598" s="27" t="s">
        <v>2357</v>
      </c>
      <c r="H598" s="33"/>
      <c r="I598" s="7" t="str">
        <f>IFERROR(__xludf.DUMMYFUNCTION("regexreplace(lower(C598), ""_"", """")"),"saethrombosisexperienceonsetdate")</f>
        <v>saethrombosisexperienceonsetdate</v>
      </c>
      <c r="J598" s="9" t="b">
        <f t="shared" si="2"/>
        <v>1</v>
      </c>
      <c r="K598" s="7" t="str">
        <f>IFERROR(__xludf.DUMMYFUNCTION("regexreplace(G598, ""_"", """")"),"saethrombosisexperienceonsetdate")</f>
        <v>saethrombosisexperienceonsetdate</v>
      </c>
      <c r="L598" s="33" t="s">
        <v>2358</v>
      </c>
      <c r="M598" s="33" t="s">
        <v>2359</v>
      </c>
    </row>
    <row r="599">
      <c r="A599" s="33"/>
      <c r="B599" s="27" t="s">
        <v>2266</v>
      </c>
      <c r="C599" s="27" t="s">
        <v>2360</v>
      </c>
      <c r="D599" s="27" t="s">
        <v>148</v>
      </c>
      <c r="E599" s="30" t="s">
        <v>2361</v>
      </c>
      <c r="F599" s="31">
        <f t="shared" si="35"/>
        <v>2</v>
      </c>
      <c r="G599" s="27" t="s">
        <v>2362</v>
      </c>
      <c r="H599" s="33"/>
      <c r="I599" s="7" t="str">
        <f>IFERROR(__xludf.DUMMYFUNCTION("regexreplace(lower(C599), ""_"", """")"),"saethrombosisexperienceonsettime")</f>
        <v>saethrombosisexperienceonsettime</v>
      </c>
      <c r="J599" s="9" t="b">
        <f t="shared" si="2"/>
        <v>1</v>
      </c>
      <c r="K599" s="7" t="str">
        <f>IFERROR(__xludf.DUMMYFUNCTION("regexreplace(G599, ""_"", """")"),"saethrombosisexperienceonsettime")</f>
        <v>saethrombosisexperienceonsettime</v>
      </c>
      <c r="L599" s="33" t="s">
        <v>2363</v>
      </c>
      <c r="M599" s="33" t="s">
        <v>2364</v>
      </c>
    </row>
    <row r="600">
      <c r="A600" s="33"/>
      <c r="B600" s="27" t="s">
        <v>2266</v>
      </c>
      <c r="C600" s="27" t="s">
        <v>2365</v>
      </c>
      <c r="D600" s="27" t="s">
        <v>29</v>
      </c>
      <c r="E600" s="30" t="s">
        <v>2366</v>
      </c>
      <c r="F600" s="31">
        <f t="shared" si="35"/>
        <v>2</v>
      </c>
      <c r="G600" s="27" t="s">
        <v>2367</v>
      </c>
      <c r="H600" s="33"/>
      <c r="I600" s="7" t="str">
        <f>IFERROR(__xludf.DUMMYFUNCTION("regexreplace(lower(C600), ""_"", """")"),"saethrombosisexperienceresolvedate")</f>
        <v>saethrombosisexperienceresolvedate</v>
      </c>
      <c r="J600" s="9" t="b">
        <f t="shared" si="2"/>
        <v>1</v>
      </c>
      <c r="K600" s="7" t="str">
        <f>IFERROR(__xludf.DUMMYFUNCTION("regexreplace(G600, ""_"", """")"),"saethrombosisexperienceresolvedate")</f>
        <v>saethrombosisexperienceresolvedate</v>
      </c>
      <c r="L600" s="33" t="s">
        <v>2368</v>
      </c>
      <c r="M600" s="33" t="s">
        <v>2369</v>
      </c>
    </row>
    <row r="601">
      <c r="A601" s="33"/>
      <c r="B601" s="27" t="s">
        <v>2266</v>
      </c>
      <c r="C601" s="27" t="s">
        <v>2370</v>
      </c>
      <c r="D601" s="27" t="s">
        <v>148</v>
      </c>
      <c r="E601" s="30" t="s">
        <v>2371</v>
      </c>
      <c r="F601" s="31">
        <f t="shared" si="35"/>
        <v>2</v>
      </c>
      <c r="G601" s="27" t="s">
        <v>2372</v>
      </c>
      <c r="H601" s="33"/>
      <c r="I601" s="7" t="str">
        <f>IFERROR(__xludf.DUMMYFUNCTION("regexreplace(lower(C601), ""_"", """")"),"saethrombosisexperienceresolvetime")</f>
        <v>saethrombosisexperienceresolvetime</v>
      </c>
      <c r="J601" s="9" t="b">
        <f t="shared" si="2"/>
        <v>1</v>
      </c>
      <c r="K601" s="7" t="str">
        <f>IFERROR(__xludf.DUMMYFUNCTION("regexreplace(G601, ""_"", """")"),"saethrombosisexperienceresolvetime")</f>
        <v>saethrombosisexperienceresolvetime</v>
      </c>
      <c r="L601" s="33" t="s">
        <v>2373</v>
      </c>
      <c r="M601" s="33" t="s">
        <v>2374</v>
      </c>
    </row>
    <row r="602">
      <c r="A602" s="33"/>
      <c r="B602" s="27" t="s">
        <v>2266</v>
      </c>
      <c r="C602" s="27" t="s">
        <v>2375</v>
      </c>
      <c r="D602" s="27" t="s">
        <v>2293</v>
      </c>
      <c r="E602" s="33" t="s">
        <v>2376</v>
      </c>
      <c r="F602" s="31">
        <f t="shared" si="35"/>
        <v>2</v>
      </c>
      <c r="G602" s="27" t="s">
        <v>2377</v>
      </c>
      <c r="H602" s="33"/>
      <c r="I602" s="7" t="str">
        <f>IFERROR(__xludf.DUMMYFUNCTION("regexreplace(lower(C602), ""_"", """")"),"saethrombosisexperienceduetohypothermia")</f>
        <v>saethrombosisexperienceduetohypothermia</v>
      </c>
      <c r="J602" s="9" t="b">
        <f t="shared" si="2"/>
        <v>1</v>
      </c>
      <c r="K602" s="7" t="str">
        <f>IFERROR(__xludf.DUMMYFUNCTION("regexreplace(G602, ""_"", """")"),"saethrombosisexperienceduetohypothermia")</f>
        <v>saethrombosisexperienceduetohypothermia</v>
      </c>
      <c r="L602" s="33" t="s">
        <v>2378</v>
      </c>
      <c r="M602" s="33" t="s">
        <v>2379</v>
      </c>
    </row>
    <row r="603">
      <c r="A603" s="33"/>
      <c r="B603" s="27" t="s">
        <v>2266</v>
      </c>
      <c r="C603" s="27" t="s">
        <v>2380</v>
      </c>
      <c r="D603" s="27" t="s">
        <v>2299</v>
      </c>
      <c r="E603" s="33" t="s">
        <v>2381</v>
      </c>
      <c r="F603" s="31">
        <f t="shared" si="35"/>
        <v>2</v>
      </c>
      <c r="G603" s="27" t="s">
        <v>2382</v>
      </c>
      <c r="H603" s="33"/>
      <c r="I603" s="7" t="str">
        <f>IFERROR(__xludf.DUMMYFUNCTION("regexreplace(lower(C603), ""_"", """")"),"saethrombosisexperienceactiontaken")</f>
        <v>saethrombosisexperienceactiontaken</v>
      </c>
      <c r="J603" s="9" t="b">
        <f t="shared" si="2"/>
        <v>1</v>
      </c>
      <c r="K603" s="7" t="str">
        <f>IFERROR(__xludf.DUMMYFUNCTION("regexreplace(G603, ""_"", """")"),"saethrombosisexperienceactiontaken")</f>
        <v>saethrombosisexperienceactiontaken</v>
      </c>
      <c r="L603" s="33" t="s">
        <v>2383</v>
      </c>
      <c r="M603" s="33" t="s">
        <v>2384</v>
      </c>
    </row>
    <row r="604">
      <c r="A604" s="33"/>
      <c r="B604" s="27" t="s">
        <v>2266</v>
      </c>
      <c r="C604" s="27" t="s">
        <v>2385</v>
      </c>
      <c r="D604" s="27" t="s">
        <v>2305</v>
      </c>
      <c r="E604" s="33" t="s">
        <v>2386</v>
      </c>
      <c r="F604" s="31">
        <f t="shared" si="35"/>
        <v>2</v>
      </c>
      <c r="G604" s="27" t="s">
        <v>2387</v>
      </c>
      <c r="H604" s="33"/>
      <c r="I604" s="7" t="str">
        <f>IFERROR(__xludf.DUMMYFUNCTION("regexreplace(lower(C604), ""_"", """")"),"saethrombosisexperienceoutcome")</f>
        <v>saethrombosisexperienceoutcome</v>
      </c>
      <c r="J604" s="9" t="b">
        <f t="shared" si="2"/>
        <v>1</v>
      </c>
      <c r="K604" s="7" t="str">
        <f>IFERROR(__xludf.DUMMYFUNCTION("regexreplace(G604, ""_"", """")"),"saethrombosisexperienceoutcome")</f>
        <v>saethrombosisexperienceoutcome</v>
      </c>
      <c r="L604" s="33" t="s">
        <v>2388</v>
      </c>
      <c r="M604" s="33" t="s">
        <v>2389</v>
      </c>
    </row>
    <row r="605">
      <c r="A605" s="33"/>
      <c r="B605" s="27" t="s">
        <v>2266</v>
      </c>
      <c r="C605" s="27" t="s">
        <v>2390</v>
      </c>
      <c r="D605" s="27" t="s">
        <v>19</v>
      </c>
      <c r="E605" s="33" t="s">
        <v>2391</v>
      </c>
      <c r="F605" s="31">
        <f t="shared" si="35"/>
        <v>2</v>
      </c>
      <c r="G605" s="27" t="s">
        <v>2392</v>
      </c>
      <c r="H605" s="33"/>
      <c r="I605" s="7" t="str">
        <f>IFERROR(__xludf.DUMMYFUNCTION("regexreplace(lower(C605), ""_"", """")"),"saethrombosisexperiencecomment")</f>
        <v>saethrombosisexperiencecomment</v>
      </c>
      <c r="J605" s="9" t="b">
        <f t="shared" si="2"/>
        <v>1</v>
      </c>
      <c r="K605" s="7" t="str">
        <f>IFERROR(__xludf.DUMMYFUNCTION("regexreplace(G605, ""_"", """")"),"saethrombosisexperiencecomment")</f>
        <v>saethrombosisexperiencecomment</v>
      </c>
      <c r="L605" s="33" t="s">
        <v>2393</v>
      </c>
      <c r="M605" s="33" t="s">
        <v>2394</v>
      </c>
    </row>
    <row r="606">
      <c r="A606" s="33"/>
      <c r="B606" s="27" t="s">
        <v>2266</v>
      </c>
      <c r="C606" s="27" t="s">
        <v>2395</v>
      </c>
      <c r="D606" s="27" t="s">
        <v>29</v>
      </c>
      <c r="E606" s="30" t="s">
        <v>2396</v>
      </c>
      <c r="F606" s="31">
        <f t="shared" si="35"/>
        <v>2</v>
      </c>
      <c r="G606" s="27" t="s">
        <v>2397</v>
      </c>
      <c r="H606" s="33"/>
      <c r="I606" s="7" t="str">
        <f>IFERROR(__xludf.DUMMYFUNCTION("regexreplace(lower(C606), ""_"", """")"),"saebleedingexperienceonsetdate")</f>
        <v>saebleedingexperienceonsetdate</v>
      </c>
      <c r="J606" s="9" t="b">
        <f t="shared" si="2"/>
        <v>1</v>
      </c>
      <c r="K606" s="7" t="str">
        <f>IFERROR(__xludf.DUMMYFUNCTION("regexreplace(G606, ""_"", """")"),"saebleedingexperienceonsetdate")</f>
        <v>saebleedingexperienceonsetdate</v>
      </c>
      <c r="L606" s="33" t="s">
        <v>2398</v>
      </c>
      <c r="M606" s="33" t="s">
        <v>2399</v>
      </c>
    </row>
    <row r="607">
      <c r="A607" s="33"/>
      <c r="B607" s="27" t="s">
        <v>2266</v>
      </c>
      <c r="C607" s="27" t="s">
        <v>2400</v>
      </c>
      <c r="D607" s="27" t="s">
        <v>148</v>
      </c>
      <c r="E607" s="30" t="s">
        <v>2401</v>
      </c>
      <c r="F607" s="31">
        <f t="shared" si="35"/>
        <v>2</v>
      </c>
      <c r="G607" s="27" t="s">
        <v>2402</v>
      </c>
      <c r="H607" s="33"/>
      <c r="I607" s="7" t="str">
        <f>IFERROR(__xludf.DUMMYFUNCTION("regexreplace(lower(C607), ""_"", """")"),"saebleedingexperienceonsettime")</f>
        <v>saebleedingexperienceonsettime</v>
      </c>
      <c r="J607" s="9" t="b">
        <f t="shared" si="2"/>
        <v>1</v>
      </c>
      <c r="K607" s="7" t="str">
        <f>IFERROR(__xludf.DUMMYFUNCTION("regexreplace(G607, ""_"", """")"),"saebleedingexperienceonsettime")</f>
        <v>saebleedingexperienceonsettime</v>
      </c>
      <c r="L607" s="33" t="s">
        <v>2403</v>
      </c>
      <c r="M607" s="33" t="s">
        <v>2404</v>
      </c>
    </row>
    <row r="608">
      <c r="A608" s="33"/>
      <c r="B608" s="27" t="s">
        <v>2266</v>
      </c>
      <c r="C608" s="27" t="s">
        <v>2405</v>
      </c>
      <c r="D608" s="27" t="s">
        <v>29</v>
      </c>
      <c r="E608" s="30" t="s">
        <v>2406</v>
      </c>
      <c r="F608" s="31">
        <f t="shared" si="35"/>
        <v>2</v>
      </c>
      <c r="G608" s="27" t="s">
        <v>2407</v>
      </c>
      <c r="H608" s="33"/>
      <c r="I608" s="7" t="str">
        <f>IFERROR(__xludf.DUMMYFUNCTION("regexreplace(lower(C608), ""_"", """")"),"saebleedingexperienceresolvedate")</f>
        <v>saebleedingexperienceresolvedate</v>
      </c>
      <c r="J608" s="9" t="b">
        <f t="shared" si="2"/>
        <v>1</v>
      </c>
      <c r="K608" s="7" t="str">
        <f>IFERROR(__xludf.DUMMYFUNCTION("regexreplace(G608, ""_"", """")"),"saebleedingexperienceresolvedate")</f>
        <v>saebleedingexperienceresolvedate</v>
      </c>
      <c r="L608" s="33" t="s">
        <v>2408</v>
      </c>
      <c r="M608" s="33" t="s">
        <v>2409</v>
      </c>
    </row>
    <row r="609">
      <c r="A609" s="33"/>
      <c r="B609" s="27" t="s">
        <v>2266</v>
      </c>
      <c r="C609" s="27" t="s">
        <v>2410</v>
      </c>
      <c r="D609" s="27" t="s">
        <v>148</v>
      </c>
      <c r="E609" s="30" t="s">
        <v>2411</v>
      </c>
      <c r="F609" s="31">
        <f t="shared" si="35"/>
        <v>2</v>
      </c>
      <c r="G609" s="27" t="s">
        <v>2412</v>
      </c>
      <c r="H609" s="33"/>
      <c r="I609" s="7" t="str">
        <f>IFERROR(__xludf.DUMMYFUNCTION("regexreplace(lower(C609), ""_"", """")"),"saebleedingexperienceresolvetime")</f>
        <v>saebleedingexperienceresolvetime</v>
      </c>
      <c r="J609" s="9" t="b">
        <f t="shared" si="2"/>
        <v>1</v>
      </c>
      <c r="K609" s="7" t="str">
        <f>IFERROR(__xludf.DUMMYFUNCTION("regexreplace(G609, ""_"", """")"),"saebleedingexperienceresolvetime")</f>
        <v>saebleedingexperienceresolvetime</v>
      </c>
      <c r="L609" s="33" t="s">
        <v>2413</v>
      </c>
      <c r="M609" s="33" t="s">
        <v>2414</v>
      </c>
    </row>
    <row r="610">
      <c r="A610" s="33"/>
      <c r="B610" s="27" t="s">
        <v>2266</v>
      </c>
      <c r="C610" s="27" t="s">
        <v>2415</v>
      </c>
      <c r="D610" s="27" t="s">
        <v>2293</v>
      </c>
      <c r="E610" s="33" t="s">
        <v>2416</v>
      </c>
      <c r="F610" s="31">
        <f t="shared" si="35"/>
        <v>2</v>
      </c>
      <c r="G610" s="27" t="s">
        <v>2417</v>
      </c>
      <c r="H610" s="33"/>
      <c r="I610" s="7" t="str">
        <f>IFERROR(__xludf.DUMMYFUNCTION("regexreplace(lower(C610), ""_"", """")"),"saebleedingexperienceduetohypothermia")</f>
        <v>saebleedingexperienceduetohypothermia</v>
      </c>
      <c r="J610" s="9" t="b">
        <f t="shared" si="2"/>
        <v>1</v>
      </c>
      <c r="K610" s="7" t="str">
        <f>IFERROR(__xludf.DUMMYFUNCTION("regexreplace(G610, ""_"", """")"),"saebleedingexperienceduetohypothermia")</f>
        <v>saebleedingexperienceduetohypothermia</v>
      </c>
      <c r="L610" s="33" t="s">
        <v>2418</v>
      </c>
      <c r="M610" s="33" t="s">
        <v>2419</v>
      </c>
    </row>
    <row r="611">
      <c r="A611" s="33"/>
      <c r="B611" s="27" t="s">
        <v>2266</v>
      </c>
      <c r="C611" s="27" t="s">
        <v>2420</v>
      </c>
      <c r="D611" s="27" t="s">
        <v>2299</v>
      </c>
      <c r="E611" s="33" t="s">
        <v>2421</v>
      </c>
      <c r="F611" s="31">
        <f t="shared" si="35"/>
        <v>2</v>
      </c>
      <c r="G611" s="27" t="s">
        <v>2422</v>
      </c>
      <c r="H611" s="33"/>
      <c r="I611" s="7" t="str">
        <f>IFERROR(__xludf.DUMMYFUNCTION("regexreplace(lower(C611), ""_"", """")"),"saebleedingexperienceactiontaken")</f>
        <v>saebleedingexperienceactiontaken</v>
      </c>
      <c r="J611" s="9" t="b">
        <f t="shared" si="2"/>
        <v>1</v>
      </c>
      <c r="K611" s="7" t="str">
        <f>IFERROR(__xludf.DUMMYFUNCTION("regexreplace(G611, ""_"", """")"),"saebleedingexperienceactiontaken")</f>
        <v>saebleedingexperienceactiontaken</v>
      </c>
      <c r="L611" s="33" t="s">
        <v>2423</v>
      </c>
      <c r="M611" s="33" t="s">
        <v>2424</v>
      </c>
    </row>
    <row r="612">
      <c r="A612" s="33"/>
      <c r="B612" s="27" t="s">
        <v>2266</v>
      </c>
      <c r="C612" s="27" t="s">
        <v>2425</v>
      </c>
      <c r="D612" s="27" t="s">
        <v>2305</v>
      </c>
      <c r="E612" s="33" t="s">
        <v>2426</v>
      </c>
      <c r="F612" s="31">
        <f t="shared" si="35"/>
        <v>2</v>
      </c>
      <c r="G612" s="27" t="s">
        <v>2427</v>
      </c>
      <c r="H612" s="33"/>
      <c r="I612" s="7" t="str">
        <f>IFERROR(__xludf.DUMMYFUNCTION("regexreplace(lower(C612), ""_"", """")"),"saebleedingexperienceoutcome")</f>
        <v>saebleedingexperienceoutcome</v>
      </c>
      <c r="J612" s="9" t="b">
        <f t="shared" si="2"/>
        <v>1</v>
      </c>
      <c r="K612" s="7" t="str">
        <f>IFERROR(__xludf.DUMMYFUNCTION("regexreplace(G612, ""_"", """")"),"saebleedingexperienceoutcome")</f>
        <v>saebleedingexperienceoutcome</v>
      </c>
      <c r="L612" s="33" t="s">
        <v>2428</v>
      </c>
      <c r="M612" s="33" t="s">
        <v>2429</v>
      </c>
    </row>
    <row r="613">
      <c r="A613" s="33"/>
      <c r="B613" s="27" t="s">
        <v>2266</v>
      </c>
      <c r="C613" s="27" t="s">
        <v>2430</v>
      </c>
      <c r="D613" s="27" t="s">
        <v>19</v>
      </c>
      <c r="E613" s="33" t="s">
        <v>2431</v>
      </c>
      <c r="F613" s="31">
        <f t="shared" si="35"/>
        <v>2</v>
      </c>
      <c r="G613" s="27" t="s">
        <v>2432</v>
      </c>
      <c r="H613" s="33"/>
      <c r="I613" s="7" t="str">
        <f>IFERROR(__xludf.DUMMYFUNCTION("regexreplace(lower(C613), ""_"", """")"),"saebleedingexperiencecomment")</f>
        <v>saebleedingexperiencecomment</v>
      </c>
      <c r="J613" s="9" t="b">
        <f t="shared" si="2"/>
        <v>1</v>
      </c>
      <c r="K613" s="7" t="str">
        <f>IFERROR(__xludf.DUMMYFUNCTION("regexreplace(G613, ""_"", """")"),"saebleedingexperiencecomment")</f>
        <v>saebleedingexperiencecomment</v>
      </c>
      <c r="L613" s="33" t="s">
        <v>2433</v>
      </c>
      <c r="M613" s="33" t="s">
        <v>2434</v>
      </c>
    </row>
    <row r="614">
      <c r="A614" s="33"/>
      <c r="B614" s="27" t="s">
        <v>2266</v>
      </c>
      <c r="C614" s="27" t="s">
        <v>2435</v>
      </c>
      <c r="D614" s="27" t="s">
        <v>2435</v>
      </c>
      <c r="E614" s="33" t="s">
        <v>2436</v>
      </c>
      <c r="F614" s="31">
        <f t="shared" si="35"/>
        <v>2</v>
      </c>
      <c r="G614" s="27" t="s">
        <v>2437</v>
      </c>
      <c r="H614" s="33"/>
      <c r="I614" s="7" t="str">
        <f>IFERROR(__xludf.DUMMYFUNCTION("regexreplace(lower(C614), ""_"", """")"),"saealterationskinintegrity")</f>
        <v>saealterationskinintegrity</v>
      </c>
      <c r="J614" s="9" t="b">
        <f t="shared" si="2"/>
        <v>1</v>
      </c>
      <c r="K614" s="7" t="str">
        <f>IFERROR(__xludf.DUMMYFUNCTION("regexreplace(G614, ""_"", """")"),"saealterationskinintegrity")</f>
        <v>saealterationskinintegrity</v>
      </c>
      <c r="L614" s="33" t="s">
        <v>2438</v>
      </c>
      <c r="M614" s="33" t="s">
        <v>2439</v>
      </c>
    </row>
    <row r="615">
      <c r="A615" s="33"/>
      <c r="B615" s="27" t="s">
        <v>2266</v>
      </c>
      <c r="C615" s="27" t="s">
        <v>2440</v>
      </c>
      <c r="D615" s="27" t="s">
        <v>29</v>
      </c>
      <c r="E615" s="30" t="s">
        <v>2441</v>
      </c>
      <c r="F615" s="31">
        <f t="shared" si="35"/>
        <v>1</v>
      </c>
      <c r="G615" s="27" t="s">
        <v>2442</v>
      </c>
      <c r="H615" s="33"/>
      <c r="I615" s="7" t="str">
        <f>IFERROR(__xludf.DUMMYFUNCTION("regexreplace(lower(C615), ""_"", """")"),"saealterationskinintegrityonsetdate")</f>
        <v>saealterationskinintegrityonsetdate</v>
      </c>
      <c r="J615" s="9" t="b">
        <f t="shared" si="2"/>
        <v>1</v>
      </c>
      <c r="K615" s="7" t="str">
        <f>IFERROR(__xludf.DUMMYFUNCTION("regexreplace(G615, ""_"", """")"),"saealterationskinintegrityonsetdate")</f>
        <v>saealterationskinintegrityonsetdate</v>
      </c>
      <c r="L615" s="33"/>
      <c r="M615" s="33" t="s">
        <v>2443</v>
      </c>
    </row>
    <row r="616">
      <c r="A616" s="33"/>
      <c r="B616" s="27" t="s">
        <v>2266</v>
      </c>
      <c r="C616" s="27" t="s">
        <v>2444</v>
      </c>
      <c r="D616" s="27" t="s">
        <v>29</v>
      </c>
      <c r="E616" s="30" t="s">
        <v>2445</v>
      </c>
      <c r="F616" s="31">
        <f t="shared" si="35"/>
        <v>1</v>
      </c>
      <c r="G616" s="27" t="s">
        <v>2446</v>
      </c>
      <c r="H616" s="33"/>
      <c r="I616" s="7" t="str">
        <f>IFERROR(__xludf.DUMMYFUNCTION("regexreplace(lower(C616), ""_"", """")"),"saealterationskinintegrityresolvedate")</f>
        <v>saealterationskinintegrityresolvedate</v>
      </c>
      <c r="J616" s="9" t="b">
        <f t="shared" si="2"/>
        <v>1</v>
      </c>
      <c r="K616" s="7" t="str">
        <f>IFERROR(__xludf.DUMMYFUNCTION("regexreplace(G616, ""_"", """")"),"saealterationskinintegrityresolvedate")</f>
        <v>saealterationskinintegrityresolvedate</v>
      </c>
      <c r="L616" s="33"/>
      <c r="M616" s="33" t="s">
        <v>2447</v>
      </c>
    </row>
    <row r="617">
      <c r="A617" s="33"/>
      <c r="B617" s="27" t="s">
        <v>2266</v>
      </c>
      <c r="C617" s="27" t="s">
        <v>2448</v>
      </c>
      <c r="D617" s="27" t="s">
        <v>2293</v>
      </c>
      <c r="E617" s="33" t="s">
        <v>2449</v>
      </c>
      <c r="F617" s="31">
        <f t="shared" si="35"/>
        <v>2</v>
      </c>
      <c r="G617" s="27" t="s">
        <v>2450</v>
      </c>
      <c r="H617" s="33"/>
      <c r="I617" s="7" t="str">
        <f>IFERROR(__xludf.DUMMYFUNCTION("regexreplace(lower(C617), ""_"", """")"),"saealterationskinintegrityduetohypothermia")</f>
        <v>saealterationskinintegrityduetohypothermia</v>
      </c>
      <c r="J617" s="9" t="b">
        <f t="shared" si="2"/>
        <v>1</v>
      </c>
      <c r="K617" s="7" t="str">
        <f>IFERROR(__xludf.DUMMYFUNCTION("regexreplace(G617, ""_"", """")"),"saealterationskinintegrityduetohypothermia")</f>
        <v>saealterationskinintegrityduetohypothermia</v>
      </c>
      <c r="L617" s="33" t="s">
        <v>2451</v>
      </c>
      <c r="M617" s="33" t="s">
        <v>2452</v>
      </c>
    </row>
    <row r="618">
      <c r="A618" s="33"/>
      <c r="B618" s="27" t="s">
        <v>2266</v>
      </c>
      <c r="C618" s="27" t="s">
        <v>2453</v>
      </c>
      <c r="D618" s="27" t="s">
        <v>2299</v>
      </c>
      <c r="E618" s="33" t="s">
        <v>2454</v>
      </c>
      <c r="F618" s="31">
        <f t="shared" si="35"/>
        <v>2</v>
      </c>
      <c r="G618" s="27" t="s">
        <v>2455</v>
      </c>
      <c r="H618" s="33"/>
      <c r="I618" s="7" t="str">
        <f>IFERROR(__xludf.DUMMYFUNCTION("regexreplace(lower(C618), ""_"", """")"),"saealterationskinintegrityactiontaken")</f>
        <v>saealterationskinintegrityactiontaken</v>
      </c>
      <c r="J618" s="9" t="b">
        <f t="shared" si="2"/>
        <v>1</v>
      </c>
      <c r="K618" s="7" t="str">
        <f>IFERROR(__xludf.DUMMYFUNCTION("regexreplace(G618, ""_"", """")"),"saealterationskinintegrityactiontaken")</f>
        <v>saealterationskinintegrityactiontaken</v>
      </c>
      <c r="L618" s="33" t="s">
        <v>2456</v>
      </c>
      <c r="M618" s="33" t="s">
        <v>2457</v>
      </c>
    </row>
    <row r="619">
      <c r="A619" s="33"/>
      <c r="B619" s="27" t="s">
        <v>2266</v>
      </c>
      <c r="C619" s="27" t="s">
        <v>2458</v>
      </c>
      <c r="D619" s="27" t="s">
        <v>2305</v>
      </c>
      <c r="E619" s="33" t="s">
        <v>2459</v>
      </c>
      <c r="F619" s="31">
        <f t="shared" si="35"/>
        <v>2</v>
      </c>
      <c r="G619" s="27" t="s">
        <v>2460</v>
      </c>
      <c r="H619" s="33"/>
      <c r="I619" s="7" t="str">
        <f>IFERROR(__xludf.DUMMYFUNCTION("regexreplace(lower(C619), ""_"", """")"),"saealterationskinintegrityoutcome")</f>
        <v>saealterationskinintegrityoutcome</v>
      </c>
      <c r="J619" s="9" t="b">
        <f t="shared" si="2"/>
        <v>1</v>
      </c>
      <c r="K619" s="7" t="str">
        <f>IFERROR(__xludf.DUMMYFUNCTION("regexreplace(G619, ""_"", """")"),"saealterationskinintegrityoutcome")</f>
        <v>saealterationskinintegrityoutcome</v>
      </c>
      <c r="L619" s="33" t="s">
        <v>2461</v>
      </c>
      <c r="M619" s="33" t="s">
        <v>2462</v>
      </c>
    </row>
    <row r="620">
      <c r="A620" s="33"/>
      <c r="B620" s="27" t="s">
        <v>2266</v>
      </c>
      <c r="C620" s="27" t="s">
        <v>2463</v>
      </c>
      <c r="D620" s="27" t="s">
        <v>19</v>
      </c>
      <c r="E620" s="33" t="s">
        <v>2464</v>
      </c>
      <c r="F620" s="31">
        <f t="shared" si="35"/>
        <v>2</v>
      </c>
      <c r="G620" s="27" t="s">
        <v>2465</v>
      </c>
      <c r="H620" s="33"/>
      <c r="I620" s="7" t="str">
        <f>IFERROR(__xludf.DUMMYFUNCTION("regexreplace(lower(C620), ""_"", """")"),"saealterationskinintegritycomment")</f>
        <v>saealterationskinintegritycomment</v>
      </c>
      <c r="J620" s="9" t="b">
        <f t="shared" si="2"/>
        <v>1</v>
      </c>
      <c r="K620" s="7" t="str">
        <f>IFERROR(__xludf.DUMMYFUNCTION("regexreplace(G620, ""_"", """")"),"saealterationskinintegritycomment")</f>
        <v>saealterationskinintegritycomment</v>
      </c>
      <c r="L620" s="33" t="s">
        <v>2466</v>
      </c>
      <c r="M620" s="33" t="s">
        <v>2467</v>
      </c>
    </row>
    <row r="621">
      <c r="A621" s="33"/>
      <c r="B621" s="27" t="s">
        <v>2266</v>
      </c>
      <c r="C621" s="27" t="s">
        <v>2468</v>
      </c>
      <c r="D621" s="27" t="s">
        <v>29</v>
      </c>
      <c r="E621" s="30" t="s">
        <v>2469</v>
      </c>
      <c r="F621" s="31">
        <f t="shared" si="35"/>
        <v>2</v>
      </c>
      <c r="G621" s="27" t="s">
        <v>2470</v>
      </c>
      <c r="H621" s="33"/>
      <c r="I621" s="7" t="str">
        <f>IFERROR(__xludf.DUMMYFUNCTION("regexreplace(lower(C621), ""_"", """")"),"saedeathdate")</f>
        <v>saedeathdate</v>
      </c>
      <c r="J621" s="9" t="b">
        <f t="shared" si="2"/>
        <v>1</v>
      </c>
      <c r="K621" s="7" t="str">
        <f>IFERROR(__xludf.DUMMYFUNCTION("regexreplace(G621, ""_"", """")"),"saedeathdate")</f>
        <v>saedeathdate</v>
      </c>
      <c r="L621" s="33" t="s">
        <v>2471</v>
      </c>
      <c r="M621" s="33" t="s">
        <v>2472</v>
      </c>
    </row>
    <row r="622">
      <c r="A622" s="33"/>
      <c r="B622" s="27" t="s">
        <v>2266</v>
      </c>
      <c r="C622" s="27" t="s">
        <v>2473</v>
      </c>
      <c r="D622" s="27" t="s">
        <v>148</v>
      </c>
      <c r="E622" s="30" t="s">
        <v>2474</v>
      </c>
      <c r="F622" s="31">
        <f t="shared" si="35"/>
        <v>2</v>
      </c>
      <c r="G622" s="27" t="s">
        <v>2475</v>
      </c>
      <c r="H622" s="33"/>
      <c r="I622" s="7" t="str">
        <f>IFERROR(__xludf.DUMMYFUNCTION("regexreplace(lower(C622), ""_"", """")"),"saedeathtime")</f>
        <v>saedeathtime</v>
      </c>
      <c r="J622" s="9" t="b">
        <f t="shared" si="2"/>
        <v>1</v>
      </c>
      <c r="K622" s="7" t="str">
        <f>IFERROR(__xludf.DUMMYFUNCTION("regexreplace(G622, ""_"", """")"),"saedeathtime")</f>
        <v>saedeathtime</v>
      </c>
      <c r="L622" s="33" t="s">
        <v>2476</v>
      </c>
      <c r="M622" s="33" t="s">
        <v>2477</v>
      </c>
    </row>
    <row r="623">
      <c r="A623" s="33"/>
      <c r="B623" s="27" t="s">
        <v>2266</v>
      </c>
      <c r="C623" s="27" t="s">
        <v>2478</v>
      </c>
      <c r="D623" s="27" t="s">
        <v>2293</v>
      </c>
      <c r="E623" s="33" t="s">
        <v>2479</v>
      </c>
      <c r="F623" s="31">
        <f t="shared" si="35"/>
        <v>2</v>
      </c>
      <c r="G623" s="27" t="s">
        <v>2480</v>
      </c>
      <c r="H623" s="33"/>
      <c r="I623" s="7" t="str">
        <f>IFERROR(__xludf.DUMMYFUNCTION("regexreplace(lower(C623), ""_"", """")"),"saedeathduetohypothermia")</f>
        <v>saedeathduetohypothermia</v>
      </c>
      <c r="J623" s="9" t="b">
        <f t="shared" si="2"/>
        <v>1</v>
      </c>
      <c r="K623" s="7" t="str">
        <f>IFERROR(__xludf.DUMMYFUNCTION("regexreplace(G623, ""_"", """")"),"saedeathduetohypothermia")</f>
        <v>saedeathduetohypothermia</v>
      </c>
      <c r="L623" s="33" t="s">
        <v>2481</v>
      </c>
      <c r="M623" s="33" t="s">
        <v>2482</v>
      </c>
    </row>
    <row r="624">
      <c r="A624" s="33"/>
      <c r="B624" s="27" t="s">
        <v>2266</v>
      </c>
      <c r="C624" s="27" t="s">
        <v>2483</v>
      </c>
      <c r="D624" s="27" t="s">
        <v>2299</v>
      </c>
      <c r="E624" s="33" t="s">
        <v>2484</v>
      </c>
      <c r="F624" s="31">
        <f t="shared" si="35"/>
        <v>2</v>
      </c>
      <c r="G624" s="27" t="s">
        <v>2485</v>
      </c>
      <c r="H624" s="33"/>
      <c r="I624" s="7" t="str">
        <f>IFERROR(__xludf.DUMMYFUNCTION("regexreplace(lower(C624), ""_"", """")"),"saedeathactiontaken")</f>
        <v>saedeathactiontaken</v>
      </c>
      <c r="J624" s="9" t="b">
        <f t="shared" si="2"/>
        <v>1</v>
      </c>
      <c r="K624" s="7" t="str">
        <f>IFERROR(__xludf.DUMMYFUNCTION("regexreplace(G624, ""_"", """")"),"saedeathactiontaken")</f>
        <v>saedeathactiontaken</v>
      </c>
      <c r="L624" s="33" t="s">
        <v>2486</v>
      </c>
      <c r="M624" s="33" t="s">
        <v>2487</v>
      </c>
    </row>
    <row r="625">
      <c r="A625" s="33"/>
      <c r="B625" s="27" t="s">
        <v>2266</v>
      </c>
      <c r="C625" s="27" t="s">
        <v>2488</v>
      </c>
      <c r="D625" s="27" t="s">
        <v>2305</v>
      </c>
      <c r="E625" s="33" t="s">
        <v>2489</v>
      </c>
      <c r="F625" s="31">
        <f t="shared" si="35"/>
        <v>2</v>
      </c>
      <c r="G625" s="27" t="s">
        <v>2490</v>
      </c>
      <c r="H625" s="33"/>
      <c r="I625" s="7" t="str">
        <f>IFERROR(__xludf.DUMMYFUNCTION("regexreplace(lower(C625), ""_"", """")"),"saedeathoutcome")</f>
        <v>saedeathoutcome</v>
      </c>
      <c r="J625" s="9" t="b">
        <f t="shared" si="2"/>
        <v>1</v>
      </c>
      <c r="K625" s="7" t="str">
        <f>IFERROR(__xludf.DUMMYFUNCTION("regexreplace(G625, ""_"", """")"),"saedeathoutcome")</f>
        <v>saedeathoutcome</v>
      </c>
      <c r="L625" s="33" t="s">
        <v>2491</v>
      </c>
      <c r="M625" s="33" t="s">
        <v>2492</v>
      </c>
    </row>
    <row r="626">
      <c r="A626" s="33"/>
      <c r="B626" s="27" t="s">
        <v>2266</v>
      </c>
      <c r="C626" s="27" t="s">
        <v>2493</v>
      </c>
      <c r="D626" s="27" t="s">
        <v>19</v>
      </c>
      <c r="E626" s="33" t="s">
        <v>2494</v>
      </c>
      <c r="F626" s="31">
        <f t="shared" si="35"/>
        <v>2</v>
      </c>
      <c r="G626" s="27" t="s">
        <v>2495</v>
      </c>
      <c r="H626" s="33"/>
      <c r="I626" s="7" t="str">
        <f>IFERROR(__xludf.DUMMYFUNCTION("regexreplace(lower(C626), ""_"", """")"),"saedeathcomment")</f>
        <v>saedeathcomment</v>
      </c>
      <c r="J626" s="9" t="b">
        <f t="shared" si="2"/>
        <v>1</v>
      </c>
      <c r="K626" s="7" t="str">
        <f>IFERROR(__xludf.DUMMYFUNCTION("regexreplace(G626, ""_"", """")"),"saedeathcomment")</f>
        <v>saedeathcomment</v>
      </c>
      <c r="L626" s="33" t="s">
        <v>2496</v>
      </c>
      <c r="M626" s="33" t="s">
        <v>2497</v>
      </c>
    </row>
    <row r="627">
      <c r="A627" s="33"/>
      <c r="B627" s="27" t="s">
        <v>2266</v>
      </c>
      <c r="C627" s="27" t="s">
        <v>2498</v>
      </c>
      <c r="D627" s="27" t="s">
        <v>19</v>
      </c>
      <c r="E627" s="33" t="s">
        <v>2499</v>
      </c>
      <c r="F627" s="31">
        <f t="shared" si="35"/>
        <v>2</v>
      </c>
      <c r="G627" s="27" t="s">
        <v>2500</v>
      </c>
      <c r="H627" s="33"/>
      <c r="I627" s="7" t="str">
        <f>IFERROR(__xludf.DUMMYFUNCTION("regexreplace(lower(C627), ""_"", """")"),"saeother")</f>
        <v>saeother</v>
      </c>
      <c r="J627" s="9" t="b">
        <f t="shared" si="2"/>
        <v>1</v>
      </c>
      <c r="K627" s="7" t="str">
        <f>IFERROR(__xludf.DUMMYFUNCTION("regexreplace(G627, ""_"", """")"),"saeother")</f>
        <v>saeother</v>
      </c>
      <c r="L627" s="33" t="s">
        <v>2501</v>
      </c>
      <c r="M627" s="33" t="s">
        <v>2502</v>
      </c>
    </row>
    <row r="628">
      <c r="A628" s="33"/>
      <c r="B628" s="27" t="s">
        <v>2266</v>
      </c>
      <c r="C628" s="27" t="s">
        <v>2503</v>
      </c>
      <c r="D628" s="27" t="s">
        <v>29</v>
      </c>
      <c r="E628" s="33" t="s">
        <v>2504</v>
      </c>
      <c r="F628" s="31">
        <f t="shared" si="35"/>
        <v>2</v>
      </c>
      <c r="G628" s="27" t="s">
        <v>2505</v>
      </c>
      <c r="H628" s="33"/>
      <c r="I628" s="7" t="str">
        <f>IFERROR(__xludf.DUMMYFUNCTION("regexreplace(lower(C628), ""_"", """")"),"saeotheronsetdate")</f>
        <v>saeotheronsetdate</v>
      </c>
      <c r="J628" s="9" t="b">
        <f t="shared" si="2"/>
        <v>1</v>
      </c>
      <c r="K628" s="7" t="str">
        <f>IFERROR(__xludf.DUMMYFUNCTION("regexreplace(G628, ""_"", """")"),"saeotheronsetdate")</f>
        <v>saeotheronsetdate</v>
      </c>
      <c r="L628" s="33" t="s">
        <v>2506</v>
      </c>
      <c r="M628" s="33" t="s">
        <v>2507</v>
      </c>
    </row>
    <row r="629">
      <c r="A629" s="33"/>
      <c r="B629" s="27" t="s">
        <v>2266</v>
      </c>
      <c r="C629" s="27" t="s">
        <v>2508</v>
      </c>
      <c r="D629" s="27" t="s">
        <v>148</v>
      </c>
      <c r="E629" s="33" t="s">
        <v>2509</v>
      </c>
      <c r="F629" s="31">
        <f t="shared" si="35"/>
        <v>2</v>
      </c>
      <c r="G629" s="27" t="s">
        <v>2510</v>
      </c>
      <c r="H629" s="33"/>
      <c r="I629" s="7" t="str">
        <f>IFERROR(__xludf.DUMMYFUNCTION("regexreplace(lower(C629), ""_"", """")"),"saeotheronsettime")</f>
        <v>saeotheronsettime</v>
      </c>
      <c r="J629" s="9" t="b">
        <f t="shared" si="2"/>
        <v>1</v>
      </c>
      <c r="K629" s="7" t="str">
        <f>IFERROR(__xludf.DUMMYFUNCTION("regexreplace(G629, ""_"", """")"),"saeotheronsettime")</f>
        <v>saeotheronsettime</v>
      </c>
      <c r="L629" s="33" t="s">
        <v>2511</v>
      </c>
      <c r="M629" s="33" t="s">
        <v>2512</v>
      </c>
    </row>
    <row r="630">
      <c r="A630" s="33"/>
      <c r="B630" s="27" t="s">
        <v>2266</v>
      </c>
      <c r="C630" s="27" t="s">
        <v>2513</v>
      </c>
      <c r="D630" s="27" t="s">
        <v>29</v>
      </c>
      <c r="E630" s="33" t="s">
        <v>2514</v>
      </c>
      <c r="F630" s="31">
        <f t="shared" si="35"/>
        <v>2</v>
      </c>
      <c r="G630" s="27" t="s">
        <v>2515</v>
      </c>
      <c r="H630" s="33"/>
      <c r="I630" s="7" t="str">
        <f>IFERROR(__xludf.DUMMYFUNCTION("regexreplace(lower(C630), ""_"", """")"),"saeotherresolvedate")</f>
        <v>saeotherresolvedate</v>
      </c>
      <c r="J630" s="9" t="b">
        <f t="shared" si="2"/>
        <v>1</v>
      </c>
      <c r="K630" s="7" t="str">
        <f>IFERROR(__xludf.DUMMYFUNCTION("regexreplace(G630, ""_"", """")"),"saeotherresolvedate")</f>
        <v>saeotherresolvedate</v>
      </c>
      <c r="L630" s="33" t="s">
        <v>2516</v>
      </c>
      <c r="M630" s="33" t="s">
        <v>2517</v>
      </c>
    </row>
    <row r="631">
      <c r="A631" s="33"/>
      <c r="B631" s="27" t="s">
        <v>2266</v>
      </c>
      <c r="C631" s="27" t="s">
        <v>2518</v>
      </c>
      <c r="D631" s="27" t="s">
        <v>148</v>
      </c>
      <c r="E631" s="33" t="s">
        <v>2519</v>
      </c>
      <c r="F631" s="31">
        <f t="shared" si="35"/>
        <v>2</v>
      </c>
      <c r="G631" s="27" t="s">
        <v>2520</v>
      </c>
      <c r="H631" s="33"/>
      <c r="I631" s="7" t="str">
        <f>IFERROR(__xludf.DUMMYFUNCTION("regexreplace(lower(C631), ""_"", """")"),"saeotherresolvetime")</f>
        <v>saeotherresolvetime</v>
      </c>
      <c r="J631" s="9" t="b">
        <f t="shared" si="2"/>
        <v>1</v>
      </c>
      <c r="K631" s="7" t="str">
        <f>IFERROR(__xludf.DUMMYFUNCTION("regexreplace(G631, ""_"", """")"),"saeotherresolvetime")</f>
        <v>saeotherresolvetime</v>
      </c>
      <c r="L631" s="33" t="s">
        <v>2521</v>
      </c>
      <c r="M631" s="33" t="s">
        <v>2522</v>
      </c>
    </row>
    <row r="632">
      <c r="A632" s="33"/>
      <c r="B632" s="27" t="s">
        <v>2266</v>
      </c>
      <c r="C632" s="27" t="s">
        <v>2523</v>
      </c>
      <c r="D632" s="27" t="s">
        <v>2293</v>
      </c>
      <c r="E632" s="33" t="s">
        <v>2524</v>
      </c>
      <c r="F632" s="31">
        <f t="shared" si="35"/>
        <v>2</v>
      </c>
      <c r="G632" s="27" t="s">
        <v>2525</v>
      </c>
      <c r="H632" s="33"/>
      <c r="I632" s="7" t="str">
        <f>IFERROR(__xludf.DUMMYFUNCTION("regexreplace(lower(C632), ""_"", """")"),"saeotherduetohypothermia")</f>
        <v>saeotherduetohypothermia</v>
      </c>
      <c r="J632" s="9" t="b">
        <f t="shared" si="2"/>
        <v>1</v>
      </c>
      <c r="K632" s="7" t="str">
        <f>IFERROR(__xludf.DUMMYFUNCTION("regexreplace(G632, ""_"", """")"),"saeotherduetohypothermia")</f>
        <v>saeotherduetohypothermia</v>
      </c>
      <c r="L632" s="33" t="s">
        <v>2526</v>
      </c>
      <c r="M632" s="33" t="s">
        <v>2527</v>
      </c>
    </row>
    <row r="633">
      <c r="A633" s="33"/>
      <c r="B633" s="27" t="s">
        <v>2266</v>
      </c>
      <c r="C633" s="27" t="s">
        <v>2528</v>
      </c>
      <c r="D633" s="27" t="s">
        <v>2299</v>
      </c>
      <c r="E633" s="33" t="s">
        <v>2529</v>
      </c>
      <c r="F633" s="31">
        <f t="shared" si="35"/>
        <v>2</v>
      </c>
      <c r="G633" s="27" t="s">
        <v>2530</v>
      </c>
      <c r="H633" s="33"/>
      <c r="I633" s="7" t="str">
        <f>IFERROR(__xludf.DUMMYFUNCTION("regexreplace(lower(C633), ""_"", """")"),"saeotheractiontaken")</f>
        <v>saeotheractiontaken</v>
      </c>
      <c r="J633" s="9" t="b">
        <f t="shared" si="2"/>
        <v>1</v>
      </c>
      <c r="K633" s="7" t="str">
        <f>IFERROR(__xludf.DUMMYFUNCTION("regexreplace(G633, ""_"", """")"),"saeotheractiontaken")</f>
        <v>saeotheractiontaken</v>
      </c>
      <c r="L633" s="33" t="s">
        <v>2531</v>
      </c>
      <c r="M633" s="33" t="s">
        <v>2532</v>
      </c>
    </row>
    <row r="634">
      <c r="A634" s="33"/>
      <c r="B634" s="27" t="s">
        <v>2266</v>
      </c>
      <c r="C634" s="27" t="s">
        <v>2533</v>
      </c>
      <c r="D634" s="27" t="s">
        <v>2305</v>
      </c>
      <c r="E634" s="33" t="s">
        <v>2534</v>
      </c>
      <c r="F634" s="31">
        <f t="shared" si="35"/>
        <v>2</v>
      </c>
      <c r="G634" s="27" t="s">
        <v>2535</v>
      </c>
      <c r="H634" s="33"/>
      <c r="I634" s="7" t="str">
        <f>IFERROR(__xludf.DUMMYFUNCTION("regexreplace(lower(C634), ""_"", """")"),"saeotheroutcome")</f>
        <v>saeotheroutcome</v>
      </c>
      <c r="J634" s="9" t="b">
        <f t="shared" si="2"/>
        <v>1</v>
      </c>
      <c r="K634" s="7" t="str">
        <f>IFERROR(__xludf.DUMMYFUNCTION("regexreplace(G634, ""_"", """")"),"saeotheroutcome")</f>
        <v>saeotheroutcome</v>
      </c>
      <c r="L634" s="33" t="s">
        <v>2536</v>
      </c>
      <c r="M634" s="33" t="s">
        <v>2537</v>
      </c>
    </row>
    <row r="635">
      <c r="A635" s="33"/>
      <c r="B635" s="27" t="s">
        <v>2266</v>
      </c>
      <c r="C635" s="27" t="s">
        <v>2538</v>
      </c>
      <c r="D635" s="27" t="s">
        <v>19</v>
      </c>
      <c r="E635" s="33" t="s">
        <v>2539</v>
      </c>
      <c r="F635" s="31">
        <f t="shared" si="35"/>
        <v>2</v>
      </c>
      <c r="G635" s="27" t="s">
        <v>2540</v>
      </c>
      <c r="H635" s="33"/>
      <c r="I635" s="7" t="str">
        <f>IFERROR(__xludf.DUMMYFUNCTION("regexreplace(lower(C635), ""_"", """")"),"saeothercomment")</f>
        <v>saeothercomment</v>
      </c>
      <c r="J635" s="9" t="b">
        <f t="shared" si="2"/>
        <v>1</v>
      </c>
      <c r="K635" s="7" t="str">
        <f>IFERROR(__xludf.DUMMYFUNCTION("regexreplace(G635, ""_"", """")"),"saeothercomment")</f>
        <v>saeothercomment</v>
      </c>
      <c r="L635" s="33" t="s">
        <v>2541</v>
      </c>
      <c r="M635" s="33" t="s">
        <v>2542</v>
      </c>
    </row>
    <row r="636">
      <c r="A636" s="12"/>
      <c r="B636" s="12"/>
      <c r="C636" s="13"/>
      <c r="D636" s="12"/>
      <c r="E636" s="12"/>
      <c r="F636" s="12"/>
      <c r="G636" s="12"/>
      <c r="H636" s="12"/>
      <c r="I636" s="13" t="str">
        <f>IFERROR(__xludf.DUMMYFUNCTION("regexreplace(lower(C636), ""_"", """")"),"")</f>
        <v/>
      </c>
      <c r="J636" s="14" t="str">
        <f t="shared" si="2"/>
        <v/>
      </c>
      <c r="K636" s="13" t="str">
        <f>IFERROR(__xludf.DUMMYFUNCTION("regexreplace(G636, ""_"", """")"),"")</f>
        <v/>
      </c>
      <c r="L636" s="12"/>
      <c r="M636" s="12"/>
    </row>
    <row r="637">
      <c r="A637" s="27" t="s">
        <v>1326</v>
      </c>
      <c r="B637" s="27" t="s">
        <v>2543</v>
      </c>
      <c r="C637" s="27" t="s">
        <v>2544</v>
      </c>
      <c r="D637" s="27" t="s">
        <v>34</v>
      </c>
      <c r="E637" s="36" t="s">
        <v>2545</v>
      </c>
      <c r="F637" s="31">
        <f t="shared" ref="F637:F645" si="36">counta(L637:M637)</f>
        <v>2</v>
      </c>
      <c r="G637" s="27" t="s">
        <v>2546</v>
      </c>
      <c r="H637" s="33"/>
      <c r="I637" s="7" t="str">
        <f>IFERROR(__xludf.DUMMYFUNCTION("regexreplace(lower(C637), ""_"", """")"),"violationnumber")</f>
        <v>violationnumber</v>
      </c>
      <c r="J637" s="9" t="b">
        <f t="shared" si="2"/>
        <v>1</v>
      </c>
      <c r="K637" s="7" t="str">
        <f>IFERROR(__xludf.DUMMYFUNCTION("regexreplace(G637, ""_"", """")"),"violationnumber")</f>
        <v>violationnumber</v>
      </c>
      <c r="L637" s="37" t="s">
        <v>2547</v>
      </c>
      <c r="M637" s="38" t="s">
        <v>2548</v>
      </c>
    </row>
    <row r="638">
      <c r="A638" s="33"/>
      <c r="B638" s="27" t="s">
        <v>2543</v>
      </c>
      <c r="C638" s="27" t="s">
        <v>2549</v>
      </c>
      <c r="D638" s="27" t="s">
        <v>29</v>
      </c>
      <c r="E638" s="33" t="s">
        <v>2550</v>
      </c>
      <c r="F638" s="31">
        <f t="shared" si="36"/>
        <v>2</v>
      </c>
      <c r="G638" s="27" t="s">
        <v>2551</v>
      </c>
      <c r="H638" s="33"/>
      <c r="I638" s="7" t="str">
        <f>IFERROR(__xludf.DUMMYFUNCTION("regexreplace(lower(C638), ""_"", """")"),"violationdate")</f>
        <v>violationdate</v>
      </c>
      <c r="J638" s="9" t="b">
        <f t="shared" si="2"/>
        <v>1</v>
      </c>
      <c r="K638" s="7" t="str">
        <f>IFERROR(__xludf.DUMMYFUNCTION("regexreplace(G638, ""_"", """")"),"violationdate")</f>
        <v>violationdate</v>
      </c>
      <c r="L638" s="37" t="s">
        <v>2552</v>
      </c>
      <c r="M638" s="38" t="s">
        <v>2553</v>
      </c>
    </row>
    <row r="639">
      <c r="A639" s="33"/>
      <c r="B639" s="27" t="s">
        <v>2543</v>
      </c>
      <c r="C639" s="27" t="s">
        <v>2554</v>
      </c>
      <c r="D639" s="27" t="s">
        <v>2554</v>
      </c>
      <c r="E639" s="33" t="s">
        <v>2555</v>
      </c>
      <c r="F639" s="31">
        <f t="shared" si="36"/>
        <v>2</v>
      </c>
      <c r="G639" s="27" t="s">
        <v>2556</v>
      </c>
      <c r="H639" s="33"/>
      <c r="I639" s="7" t="str">
        <f>IFERROR(__xludf.DUMMYFUNCTION("regexreplace(lower(C639), ""_"", """")"),"violationnature")</f>
        <v>violationnature</v>
      </c>
      <c r="J639" s="9" t="b">
        <f t="shared" si="2"/>
        <v>1</v>
      </c>
      <c r="K639" s="7" t="str">
        <f>IFERROR(__xludf.DUMMYFUNCTION("regexreplace(G639, ""_"", """")"),"violationnature")</f>
        <v>violationnature</v>
      </c>
      <c r="L639" s="37" t="s">
        <v>2557</v>
      </c>
      <c r="M639" s="38" t="s">
        <v>2558</v>
      </c>
    </row>
    <row r="640">
      <c r="A640" s="33"/>
      <c r="B640" s="27" t="s">
        <v>2543</v>
      </c>
      <c r="C640" s="27" t="s">
        <v>2559</v>
      </c>
      <c r="D640" s="27" t="s">
        <v>43</v>
      </c>
      <c r="E640" s="33" t="s">
        <v>2560</v>
      </c>
      <c r="F640" s="31">
        <f t="shared" si="36"/>
        <v>1</v>
      </c>
      <c r="G640" s="27" t="s">
        <v>2561</v>
      </c>
      <c r="H640" s="33"/>
      <c r="I640" s="7" t="str">
        <f>IFERROR(__xludf.DUMMYFUNCTION("regexreplace(lower(C640), ""_"", """")"),"violationtreatmentassign")</f>
        <v>violationtreatmentassign</v>
      </c>
      <c r="J640" s="9" t="b">
        <f t="shared" si="2"/>
        <v>1</v>
      </c>
      <c r="K640" s="7" t="str">
        <f>IFERROR(__xludf.DUMMYFUNCTION("regexreplace(G640, ""_"", """")"),"violationtreatmentassign")</f>
        <v>violationtreatmentassign</v>
      </c>
      <c r="L640" s="33"/>
      <c r="M640" s="33" t="s">
        <v>2562</v>
      </c>
    </row>
    <row r="641">
      <c r="A641" s="33"/>
      <c r="B641" s="27" t="s">
        <v>2543</v>
      </c>
      <c r="C641" s="27" t="s">
        <v>2563</v>
      </c>
      <c r="D641" s="27" t="s">
        <v>43</v>
      </c>
      <c r="E641" s="33" t="s">
        <v>2564</v>
      </c>
      <c r="F641" s="31">
        <f t="shared" si="36"/>
        <v>1</v>
      </c>
      <c r="G641" s="27" t="s">
        <v>2565</v>
      </c>
      <c r="H641" s="33"/>
      <c r="I641" s="7" t="str">
        <f>IFERROR(__xludf.DUMMYFUNCTION("regexreplace(lower(C641), ""_"", """")"),"violationtreatmentreceive")</f>
        <v>violationtreatmentreceive</v>
      </c>
      <c r="J641" s="9" t="b">
        <f t="shared" si="2"/>
        <v>1</v>
      </c>
      <c r="K641" s="7" t="str">
        <f>IFERROR(__xludf.DUMMYFUNCTION("regexreplace(G641, ""_"", """")"),"violationtreatmentreceive")</f>
        <v>violationtreatmentreceive</v>
      </c>
      <c r="L641" s="33"/>
      <c r="M641" s="33" t="s">
        <v>2566</v>
      </c>
    </row>
    <row r="642">
      <c r="A642" s="33"/>
      <c r="B642" s="27" t="s">
        <v>2543</v>
      </c>
      <c r="C642" s="27" t="s">
        <v>2567</v>
      </c>
      <c r="D642" s="27" t="s">
        <v>19</v>
      </c>
      <c r="E642" s="33" t="s">
        <v>2568</v>
      </c>
      <c r="F642" s="31">
        <f t="shared" si="36"/>
        <v>2</v>
      </c>
      <c r="G642" s="27" t="s">
        <v>2569</v>
      </c>
      <c r="H642" s="33"/>
      <c r="I642" s="7" t="str">
        <f>IFERROR(__xludf.DUMMYFUNCTION("regexreplace(lower(C642), ""_"", """")"),"violationothertext")</f>
        <v>violationothertext</v>
      </c>
      <c r="J642" s="9" t="b">
        <f t="shared" si="2"/>
        <v>1</v>
      </c>
      <c r="K642" s="7" t="str">
        <f>IFERROR(__xludf.DUMMYFUNCTION("regexreplace(G642, ""_"", """")"),"violationothertext")</f>
        <v>violationothertext</v>
      </c>
      <c r="L642" s="39" t="s">
        <v>2570</v>
      </c>
      <c r="M642" s="38" t="s">
        <v>2571</v>
      </c>
    </row>
    <row r="643">
      <c r="A643" s="33"/>
      <c r="B643" s="27" t="s">
        <v>2543</v>
      </c>
      <c r="C643" s="27" t="s">
        <v>2572</v>
      </c>
      <c r="D643" s="27" t="s">
        <v>2572</v>
      </c>
      <c r="E643" s="33" t="s">
        <v>2573</v>
      </c>
      <c r="F643" s="31">
        <f t="shared" si="36"/>
        <v>2</v>
      </c>
      <c r="G643" s="27" t="s">
        <v>2574</v>
      </c>
      <c r="H643" s="33"/>
      <c r="I643" s="7" t="str">
        <f>IFERROR(__xludf.DUMMYFUNCTION("regexreplace(lower(C643), ""_"", """")"),"violationcircumstance")</f>
        <v>violationcircumstance</v>
      </c>
      <c r="J643" s="9" t="b">
        <f t="shared" si="2"/>
        <v>1</v>
      </c>
      <c r="K643" s="7" t="str">
        <f>IFERROR(__xludf.DUMMYFUNCTION("regexreplace(G643, ""_"", """")"),"violationcircumstance")</f>
        <v>violationcircumstance</v>
      </c>
      <c r="L643" s="33" t="s">
        <v>2575</v>
      </c>
      <c r="M643" s="33" t="s">
        <v>2576</v>
      </c>
    </row>
    <row r="644">
      <c r="A644" s="33"/>
      <c r="B644" s="27" t="s">
        <v>2543</v>
      </c>
      <c r="C644" s="27" t="s">
        <v>2577</v>
      </c>
      <c r="D644" s="27" t="s">
        <v>19</v>
      </c>
      <c r="E644" s="33" t="s">
        <v>2578</v>
      </c>
      <c r="F644" s="31">
        <f t="shared" si="36"/>
        <v>2</v>
      </c>
      <c r="G644" s="27" t="s">
        <v>2579</v>
      </c>
      <c r="H644" s="33"/>
      <c r="I644" s="7" t="str">
        <f>IFERROR(__xludf.DUMMYFUNCTION("regexreplace(lower(C644), ""_"", """")"),"violationothercirumstancetext")</f>
        <v>violationothercirumstancetext</v>
      </c>
      <c r="J644" s="9" t="b">
        <f t="shared" si="2"/>
        <v>1</v>
      </c>
      <c r="K644" s="7" t="str">
        <f>IFERROR(__xludf.DUMMYFUNCTION("regexreplace(G644, ""_"", """")"),"violationothercirumstancetext")</f>
        <v>violationothercirumstancetext</v>
      </c>
      <c r="L644" s="33" t="s">
        <v>2580</v>
      </c>
      <c r="M644" s="33" t="s">
        <v>2581</v>
      </c>
    </row>
    <row r="645">
      <c r="A645" s="33"/>
      <c r="B645" s="27" t="s">
        <v>2543</v>
      </c>
      <c r="C645" s="27" t="s">
        <v>2582</v>
      </c>
      <c r="D645" s="27" t="s">
        <v>19</v>
      </c>
      <c r="E645" s="33" t="s">
        <v>2583</v>
      </c>
      <c r="F645" s="31">
        <f t="shared" si="36"/>
        <v>2</v>
      </c>
      <c r="G645" s="27" t="s">
        <v>2584</v>
      </c>
      <c r="H645" s="33"/>
      <c r="I645" s="7" t="str">
        <f>IFERROR(__xludf.DUMMYFUNCTION("regexreplace(lower(C645), ""_"", """")"),"violationcomment")</f>
        <v>violationcomment</v>
      </c>
      <c r="J645" s="9" t="b">
        <f t="shared" si="2"/>
        <v>1</v>
      </c>
      <c r="K645" s="7" t="str">
        <f>IFERROR(__xludf.DUMMYFUNCTION("regexreplace(G645, ""_"", """")"),"violationcomment")</f>
        <v>violationcomment</v>
      </c>
      <c r="L645" s="37" t="s">
        <v>2585</v>
      </c>
      <c r="M645" s="38" t="s">
        <v>2586</v>
      </c>
    </row>
    <row r="646">
      <c r="A646" s="12"/>
      <c r="B646" s="12"/>
      <c r="C646" s="13"/>
      <c r="D646" s="12"/>
      <c r="E646" s="12"/>
      <c r="F646" s="12"/>
      <c r="G646" s="12" t="s">
        <v>913</v>
      </c>
      <c r="H646" s="12"/>
      <c r="I646" s="13" t="str">
        <f>IFERROR(__xludf.DUMMYFUNCTION("regexreplace(lower(C646), ""_"", """")"),"")</f>
        <v/>
      </c>
      <c r="J646" s="14" t="str">
        <f t="shared" si="2"/>
        <v/>
      </c>
      <c r="K646" s="13" t="str">
        <f>IFERROR(__xludf.DUMMYFUNCTION("regexreplace(G646, ""_"", """")"),"")</f>
        <v/>
      </c>
      <c r="L646" s="12"/>
      <c r="M646" s="12"/>
    </row>
    <row r="647">
      <c r="A647" s="27" t="s">
        <v>1326</v>
      </c>
      <c r="B647" s="27" t="s">
        <v>2587</v>
      </c>
      <c r="C647" s="27" t="s">
        <v>2588</v>
      </c>
      <c r="D647" s="27" t="s">
        <v>34</v>
      </c>
      <c r="E647" s="33" t="s">
        <v>2589</v>
      </c>
      <c r="F647" s="31">
        <f t="shared" ref="F647:F655" si="37">counta(L647:M647)</f>
        <v>1</v>
      </c>
      <c r="G647" s="27" t="s">
        <v>2590</v>
      </c>
      <c r="H647" s="33"/>
      <c r="I647" s="7" t="str">
        <f>IFERROR(__xludf.DUMMYFUNCTION("regexreplace(lower(C647), ""_"", """")"),"interruptnumber")</f>
        <v>interruptnumber</v>
      </c>
      <c r="J647" s="9" t="b">
        <f t="shared" si="2"/>
        <v>1</v>
      </c>
      <c r="K647" s="7" t="str">
        <f>IFERROR(__xludf.DUMMYFUNCTION("regexreplace(G647, ""_"", """")"),"interruptnumber")</f>
        <v>interruptnumber</v>
      </c>
      <c r="L647" s="33"/>
      <c r="M647" s="33" t="s">
        <v>2591</v>
      </c>
    </row>
    <row r="648">
      <c r="A648" s="33"/>
      <c r="B648" s="27" t="s">
        <v>2587</v>
      </c>
      <c r="C648" s="27" t="s">
        <v>2592</v>
      </c>
      <c r="D648" s="27" t="s">
        <v>43</v>
      </c>
      <c r="E648" s="33" t="s">
        <v>2593</v>
      </c>
      <c r="F648" s="31">
        <f t="shared" si="37"/>
        <v>1</v>
      </c>
      <c r="G648" s="27" t="s">
        <v>2592</v>
      </c>
      <c r="H648" s="33"/>
      <c r="I648" s="7" t="str">
        <f>IFERROR(__xludf.DUMMYFUNCTION("regexreplace(lower(C648), ""_"", """")"),"interrupt")</f>
        <v>interrupt</v>
      </c>
      <c r="J648" s="9" t="b">
        <f t="shared" si="2"/>
        <v>1</v>
      </c>
      <c r="K648" s="7" t="str">
        <f>IFERROR(__xludf.DUMMYFUNCTION("regexreplace(G648, ""_"", """")"),"interrupt")</f>
        <v>interrupt</v>
      </c>
      <c r="L648" s="33"/>
      <c r="M648" s="33" t="s">
        <v>2594</v>
      </c>
    </row>
    <row r="649">
      <c r="A649" s="33"/>
      <c r="B649" s="27" t="s">
        <v>2587</v>
      </c>
      <c r="C649" s="27" t="s">
        <v>2595</v>
      </c>
      <c r="D649" s="27" t="s">
        <v>2595</v>
      </c>
      <c r="E649" s="33" t="s">
        <v>2596</v>
      </c>
      <c r="F649" s="31">
        <f t="shared" si="37"/>
        <v>1</v>
      </c>
      <c r="G649" s="27" t="s">
        <v>2597</v>
      </c>
      <c r="H649" s="33"/>
      <c r="I649" s="7" t="str">
        <f>IFERROR(__xludf.DUMMYFUNCTION("regexreplace(lower(C649), ""_"", """")"),"interruptreason")</f>
        <v>interruptreason</v>
      </c>
      <c r="J649" s="9" t="b">
        <f t="shared" si="2"/>
        <v>1</v>
      </c>
      <c r="K649" s="7" t="str">
        <f>IFERROR(__xludf.DUMMYFUNCTION("regexreplace(G649, ""_"", """")"),"interruptreason")</f>
        <v>interruptreason</v>
      </c>
      <c r="L649" s="33"/>
      <c r="M649" s="33" t="s">
        <v>2598</v>
      </c>
    </row>
    <row r="650">
      <c r="A650" s="33"/>
      <c r="B650" s="27" t="s">
        <v>2587</v>
      </c>
      <c r="C650" s="27" t="s">
        <v>2599</v>
      </c>
      <c r="D650" s="27" t="s">
        <v>19</v>
      </c>
      <c r="E650" s="33" t="s">
        <v>2600</v>
      </c>
      <c r="F650" s="31">
        <f t="shared" si="37"/>
        <v>1</v>
      </c>
      <c r="G650" s="27" t="s">
        <v>2601</v>
      </c>
      <c r="H650" s="33"/>
      <c r="I650" s="7" t="str">
        <f>IFERROR(__xludf.DUMMYFUNCTION("regexreplace(lower(C650), ""_"", """")"),"interruptreasontext")</f>
        <v>interruptreasontext</v>
      </c>
      <c r="J650" s="9" t="b">
        <f t="shared" si="2"/>
        <v>1</v>
      </c>
      <c r="K650" s="7" t="str">
        <f>IFERROR(__xludf.DUMMYFUNCTION("regexreplace(G650, ""_"", """")"),"interruptreasontext")</f>
        <v>interruptreasontext</v>
      </c>
      <c r="L650" s="33"/>
      <c r="M650" s="33" t="s">
        <v>2602</v>
      </c>
    </row>
    <row r="651">
      <c r="A651" s="33"/>
      <c r="B651" s="27" t="s">
        <v>2587</v>
      </c>
      <c r="C651" s="27" t="s">
        <v>2603</v>
      </c>
      <c r="D651" s="27" t="s">
        <v>29</v>
      </c>
      <c r="E651" s="33" t="s">
        <v>2604</v>
      </c>
      <c r="F651" s="31">
        <f t="shared" si="37"/>
        <v>1</v>
      </c>
      <c r="G651" s="27" t="s">
        <v>2605</v>
      </c>
      <c r="H651" s="33"/>
      <c r="I651" s="7" t="str">
        <f>IFERROR(__xludf.DUMMYFUNCTION("regexreplace(lower(C651), ""_"", """")"),"interruptdate")</f>
        <v>interruptdate</v>
      </c>
      <c r="J651" s="9" t="b">
        <f t="shared" si="2"/>
        <v>1</v>
      </c>
      <c r="K651" s="7" t="str">
        <f>IFERROR(__xludf.DUMMYFUNCTION("regexreplace(G651, ""_"", """")"),"interruptdate")</f>
        <v>interruptdate</v>
      </c>
      <c r="L651" s="33"/>
      <c r="M651" s="33" t="s">
        <v>2606</v>
      </c>
    </row>
    <row r="652">
      <c r="A652" s="33"/>
      <c r="B652" s="27" t="s">
        <v>2587</v>
      </c>
      <c r="C652" s="27" t="s">
        <v>2607</v>
      </c>
      <c r="D652" s="27" t="s">
        <v>148</v>
      </c>
      <c r="E652" s="33" t="s">
        <v>2608</v>
      </c>
      <c r="F652" s="31">
        <f t="shared" si="37"/>
        <v>1</v>
      </c>
      <c r="G652" s="27" t="s">
        <v>2609</v>
      </c>
      <c r="H652" s="33"/>
      <c r="I652" s="7" t="str">
        <f>IFERROR(__xludf.DUMMYFUNCTION("regexreplace(lower(C652), ""_"", """")"),"interrupttime")</f>
        <v>interrupttime</v>
      </c>
      <c r="J652" s="9" t="b">
        <f t="shared" si="2"/>
        <v>1</v>
      </c>
      <c r="K652" s="7" t="str">
        <f>IFERROR(__xludf.DUMMYFUNCTION("regexreplace(G652, ""_"", """")"),"interrupttime")</f>
        <v>interrupttime</v>
      </c>
      <c r="L652" s="33"/>
      <c r="M652" s="33" t="s">
        <v>2610</v>
      </c>
    </row>
    <row r="653">
      <c r="A653" s="33"/>
      <c r="B653" s="27" t="s">
        <v>2587</v>
      </c>
      <c r="C653" s="27" t="s">
        <v>2611</v>
      </c>
      <c r="D653" s="27" t="s">
        <v>29</v>
      </c>
      <c r="E653" s="33" t="s">
        <v>2612</v>
      </c>
      <c r="F653" s="31">
        <f t="shared" si="37"/>
        <v>1</v>
      </c>
      <c r="G653" s="27" t="s">
        <v>2613</v>
      </c>
      <c r="H653" s="33"/>
      <c r="I653" s="7" t="str">
        <f>IFERROR(__xludf.DUMMYFUNCTION("regexreplace(lower(C653), ""_"", """")"),"interruptrestartdate")</f>
        <v>interruptrestartdate</v>
      </c>
      <c r="J653" s="9" t="b">
        <f t="shared" si="2"/>
        <v>1</v>
      </c>
      <c r="K653" s="7" t="str">
        <f>IFERROR(__xludf.DUMMYFUNCTION("regexreplace(G653, ""_"", """")"),"interruptrestartdate")</f>
        <v>interruptrestartdate</v>
      </c>
      <c r="L653" s="33"/>
      <c r="M653" s="33" t="s">
        <v>2614</v>
      </c>
    </row>
    <row r="654">
      <c r="A654" s="33"/>
      <c r="B654" s="27" t="s">
        <v>2587</v>
      </c>
      <c r="C654" s="27" t="s">
        <v>2615</v>
      </c>
      <c r="D654" s="27" t="s">
        <v>148</v>
      </c>
      <c r="E654" s="33" t="s">
        <v>2616</v>
      </c>
      <c r="F654" s="31">
        <f t="shared" si="37"/>
        <v>1</v>
      </c>
      <c r="G654" s="27" t="s">
        <v>2617</v>
      </c>
      <c r="H654" s="33"/>
      <c r="I654" s="7" t="str">
        <f>IFERROR(__xludf.DUMMYFUNCTION("regexreplace(lower(C654), ""_"", """")"),"interruptrestarttime")</f>
        <v>interruptrestarttime</v>
      </c>
      <c r="J654" s="9" t="b">
        <f t="shared" si="2"/>
        <v>1</v>
      </c>
      <c r="K654" s="7" t="str">
        <f>IFERROR(__xludf.DUMMYFUNCTION("regexreplace(G654, ""_"", """")"),"interruptrestarttime")</f>
        <v>interruptrestarttime</v>
      </c>
      <c r="L654" s="33"/>
      <c r="M654" s="33" t="s">
        <v>2618</v>
      </c>
    </row>
    <row r="655">
      <c r="A655" s="33"/>
      <c r="B655" s="27" t="s">
        <v>2587</v>
      </c>
      <c r="C655" s="27" t="s">
        <v>2619</v>
      </c>
      <c r="D655" s="27" t="s">
        <v>154</v>
      </c>
      <c r="E655" s="33" t="s">
        <v>2620</v>
      </c>
      <c r="F655" s="31">
        <f t="shared" si="37"/>
        <v>1</v>
      </c>
      <c r="G655" s="27" t="s">
        <v>2621</v>
      </c>
      <c r="H655" s="33"/>
      <c r="I655" s="7" t="str">
        <f>IFERROR(__xludf.DUMMYFUNCTION("regexreplace(lower(C655), ""_"", """")"),"interruptrestartesophagealtemperaturec")</f>
        <v>interruptrestartesophagealtemperaturec</v>
      </c>
      <c r="J655" s="9" t="b">
        <f t="shared" si="2"/>
        <v>1</v>
      </c>
      <c r="K655" s="7" t="str">
        <f>IFERROR(__xludf.DUMMYFUNCTION("regexreplace(G655, ""_"", """")"),"interruptrestartesophagealtemperaturec")</f>
        <v>interruptrestartesophagealtemperaturec</v>
      </c>
      <c r="L655" s="33"/>
      <c r="M655" s="33" t="s">
        <v>2622</v>
      </c>
    </row>
    <row r="656">
      <c r="A656" s="12"/>
      <c r="B656" s="12"/>
      <c r="C656" s="13"/>
      <c r="D656" s="12"/>
      <c r="E656" s="12"/>
      <c r="F656" s="12"/>
      <c r="G656" s="12"/>
      <c r="H656" s="12"/>
      <c r="I656" s="7" t="str">
        <f>IFERROR(__xludf.DUMMYFUNCTION("regexreplace(lower(C656), ""_"", """")"),"")</f>
        <v/>
      </c>
      <c r="J656" s="9" t="str">
        <f t="shared" si="2"/>
        <v/>
      </c>
      <c r="K656" s="7" t="str">
        <f>IFERROR(__xludf.DUMMYFUNCTION("regexreplace(G656, ""_"", """")"),"")</f>
        <v/>
      </c>
      <c r="L656" s="12"/>
      <c r="M656" s="12"/>
    </row>
    <row r="657">
      <c r="A657" s="27" t="s">
        <v>1326</v>
      </c>
      <c r="B657" s="27" t="s">
        <v>2623</v>
      </c>
      <c r="C657" s="27" t="s">
        <v>2624</v>
      </c>
      <c r="D657" s="27" t="s">
        <v>29</v>
      </c>
      <c r="E657" s="30" t="s">
        <v>2625</v>
      </c>
      <c r="F657" s="31">
        <f t="shared" ref="F657:F668" si="38">counta(L657:M657)</f>
        <v>2</v>
      </c>
      <c r="G657" s="27" t="s">
        <v>2626</v>
      </c>
      <c r="H657" s="33"/>
      <c r="I657" s="7" t="str">
        <f>IFERROR(__xludf.DUMMYFUNCTION("regexreplace(lower(C657), ""_"", """")"),"discontinuedate")</f>
        <v>discontinuedate</v>
      </c>
      <c r="J657" s="9" t="b">
        <f t="shared" si="2"/>
        <v>1</v>
      </c>
      <c r="K657" s="7" t="str">
        <f>IFERROR(__xludf.DUMMYFUNCTION("regexreplace(G657, ""_"", """")"),"discontinuedate")</f>
        <v>discontinuedate</v>
      </c>
      <c r="L657" s="33" t="s">
        <v>2627</v>
      </c>
      <c r="M657" s="33" t="s">
        <v>2628</v>
      </c>
    </row>
    <row r="658">
      <c r="A658" s="33"/>
      <c r="B658" s="27" t="s">
        <v>2623</v>
      </c>
      <c r="C658" s="27" t="s">
        <v>2629</v>
      </c>
      <c r="D658" s="27" t="s">
        <v>148</v>
      </c>
      <c r="E658" s="30" t="s">
        <v>2630</v>
      </c>
      <c r="F658" s="31">
        <f t="shared" si="38"/>
        <v>2</v>
      </c>
      <c r="G658" s="27" t="s">
        <v>2631</v>
      </c>
      <c r="H658" s="33"/>
      <c r="I658" s="7" t="str">
        <f>IFERROR(__xludf.DUMMYFUNCTION("regexreplace(lower(C658), ""_"", """")"),"discontinuetime")</f>
        <v>discontinuetime</v>
      </c>
      <c r="J658" s="9" t="b">
        <f t="shared" si="2"/>
        <v>1</v>
      </c>
      <c r="K658" s="7" t="str">
        <f>IFERROR(__xludf.DUMMYFUNCTION("regexreplace(G658, ""_"", """")"),"discontinuetime")</f>
        <v>discontinuetime</v>
      </c>
      <c r="L658" s="33" t="s">
        <v>2632</v>
      </c>
      <c r="M658" s="33" t="s">
        <v>2633</v>
      </c>
    </row>
    <row r="659">
      <c r="A659" s="33"/>
      <c r="B659" s="27" t="s">
        <v>2623</v>
      </c>
      <c r="C659" s="27" t="s">
        <v>2634</v>
      </c>
      <c r="D659" s="27" t="s">
        <v>43</v>
      </c>
      <c r="E659" s="33" t="s">
        <v>2635</v>
      </c>
      <c r="F659" s="31">
        <f t="shared" si="38"/>
        <v>2</v>
      </c>
      <c r="G659" s="27" t="s">
        <v>2636</v>
      </c>
      <c r="H659" s="27" t="s">
        <v>2637</v>
      </c>
      <c r="I659" s="7" t="str">
        <f>IFERROR(__xludf.DUMMYFUNCTION("regexreplace(lower(C659), ""_"", """")"),"discontinuebeforeendperiod")</f>
        <v>discontinuebeforeendperiod</v>
      </c>
      <c r="J659" s="9" t="b">
        <f t="shared" si="2"/>
        <v>1</v>
      </c>
      <c r="K659" s="7" t="str">
        <f>IFERROR(__xludf.DUMMYFUNCTION("regexreplace(G659, ""_"", """")"),"discontinuebeforeendperiod")</f>
        <v>discontinuebeforeendperiod</v>
      </c>
      <c r="L659" s="33" t="s">
        <v>2638</v>
      </c>
      <c r="M659" s="33" t="s">
        <v>2639</v>
      </c>
    </row>
    <row r="660">
      <c r="A660" s="33"/>
      <c r="B660" s="27" t="s">
        <v>2623</v>
      </c>
      <c r="C660" s="27" t="s">
        <v>2640</v>
      </c>
      <c r="D660" s="27" t="s">
        <v>43</v>
      </c>
      <c r="E660" s="33" t="s">
        <v>2641</v>
      </c>
      <c r="F660" s="31">
        <f t="shared" si="38"/>
        <v>1</v>
      </c>
      <c r="G660" s="27" t="s">
        <v>2642</v>
      </c>
      <c r="H660" s="27" t="s">
        <v>2643</v>
      </c>
      <c r="I660" s="7" t="str">
        <f>IFERROR(__xludf.DUMMYFUNCTION("regexreplace(lower(C660), ""_"", """")"),"discontinueparentswithdraw")</f>
        <v>discontinueparentswithdraw</v>
      </c>
      <c r="J660" s="9" t="b">
        <f t="shared" si="2"/>
        <v>1</v>
      </c>
      <c r="K660" s="7" t="str">
        <f>IFERROR(__xludf.DUMMYFUNCTION("regexreplace(G660, ""_"", """")"),"discontinueparentswithdraw")</f>
        <v>discontinueparentswithdraw</v>
      </c>
      <c r="L660" s="33" t="s">
        <v>2644</v>
      </c>
      <c r="M660" s="33"/>
    </row>
    <row r="661">
      <c r="A661" s="33"/>
      <c r="B661" s="27" t="s">
        <v>2623</v>
      </c>
      <c r="C661" s="27" t="s">
        <v>2645</v>
      </c>
      <c r="D661" s="27" t="s">
        <v>43</v>
      </c>
      <c r="E661" s="33" t="s">
        <v>2646</v>
      </c>
      <c r="F661" s="31">
        <f t="shared" si="38"/>
        <v>1</v>
      </c>
      <c r="G661" s="27" t="s">
        <v>2647</v>
      </c>
      <c r="H661" s="27" t="s">
        <v>2648</v>
      </c>
      <c r="I661" s="7" t="str">
        <f>IFERROR(__xludf.DUMMYFUNCTION("regexreplace(lower(C661), ""_"", """")"),"discontinuephysicianwithdraw")</f>
        <v>discontinuephysicianwithdraw</v>
      </c>
      <c r="J661" s="9" t="b">
        <f t="shared" si="2"/>
        <v>1</v>
      </c>
      <c r="K661" s="7" t="str">
        <f>IFERROR(__xludf.DUMMYFUNCTION("regexreplace(G661, ""_"", """")"),"discontinuephysicianwithdraw")</f>
        <v>discontinuephysicianwithdraw</v>
      </c>
      <c r="L661" s="33" t="s">
        <v>2649</v>
      </c>
      <c r="M661" s="33"/>
    </row>
    <row r="662">
      <c r="A662" s="33"/>
      <c r="B662" s="27" t="s">
        <v>2623</v>
      </c>
      <c r="C662" s="27" t="s">
        <v>2650</v>
      </c>
      <c r="D662" s="27" t="s">
        <v>43</v>
      </c>
      <c r="E662" s="33" t="s">
        <v>2651</v>
      </c>
      <c r="F662" s="31">
        <f t="shared" si="38"/>
        <v>1</v>
      </c>
      <c r="G662" s="27" t="s">
        <v>2652</v>
      </c>
      <c r="H662" s="27" t="s">
        <v>2653</v>
      </c>
      <c r="I662" s="7" t="str">
        <f>IFERROR(__xludf.DUMMYFUNCTION("regexreplace(lower(C662), ""_"", """")"),"discontinueadverseevent")</f>
        <v>discontinueadverseevent</v>
      </c>
      <c r="J662" s="9" t="b">
        <f t="shared" si="2"/>
        <v>1</v>
      </c>
      <c r="K662" s="7" t="str">
        <f>IFERROR(__xludf.DUMMYFUNCTION("regexreplace(G662, ""_"", """")"),"discontinueadverseevent")</f>
        <v>discontinueadverseevent</v>
      </c>
      <c r="L662" s="33" t="s">
        <v>2654</v>
      </c>
      <c r="M662" s="33"/>
    </row>
    <row r="663">
      <c r="A663" s="33"/>
      <c r="B663" s="27" t="s">
        <v>2623</v>
      </c>
      <c r="C663" s="27" t="s">
        <v>2655</v>
      </c>
      <c r="D663" s="27" t="s">
        <v>43</v>
      </c>
      <c r="E663" s="33" t="s">
        <v>2656</v>
      </c>
      <c r="F663" s="31">
        <f t="shared" si="38"/>
        <v>1</v>
      </c>
      <c r="G663" s="27" t="s">
        <v>2657</v>
      </c>
      <c r="H663" s="27" t="s">
        <v>2658</v>
      </c>
      <c r="I663" s="7" t="str">
        <f>IFERROR(__xludf.DUMMYFUNCTION("regexreplace(lower(C663), ""_"", """")"),"discontinueecmo")</f>
        <v>discontinueecmo</v>
      </c>
      <c r="J663" s="9" t="b">
        <f t="shared" si="2"/>
        <v>1</v>
      </c>
      <c r="K663" s="7" t="str">
        <f>IFERROR(__xludf.DUMMYFUNCTION("regexreplace(G663, ""_"", """")"),"discontinueecmo")</f>
        <v>discontinueecmo</v>
      </c>
      <c r="L663" s="33" t="s">
        <v>2659</v>
      </c>
      <c r="M663" s="33"/>
    </row>
    <row r="664">
      <c r="A664" s="33"/>
      <c r="B664" s="27" t="s">
        <v>2623</v>
      </c>
      <c r="C664" s="27" t="s">
        <v>2660</v>
      </c>
      <c r="D664" s="27" t="s">
        <v>43</v>
      </c>
      <c r="E664" s="33"/>
      <c r="F664" s="31">
        <f t="shared" si="38"/>
        <v>0</v>
      </c>
      <c r="G664" s="27" t="s">
        <v>2661</v>
      </c>
      <c r="H664" s="27" t="s">
        <v>2662</v>
      </c>
      <c r="I664" s="7" t="str">
        <f>IFERROR(__xludf.DUMMYFUNCTION("regexreplace(lower(C664), ""_"", """")"),"discontinuednr")</f>
        <v>discontinuednr</v>
      </c>
      <c r="J664" s="9" t="b">
        <f t="shared" si="2"/>
        <v>1</v>
      </c>
      <c r="K664" s="7" t="str">
        <f>IFERROR(__xludf.DUMMYFUNCTION("regexreplace(G664, ""_"", """")"),"discontinuednr")</f>
        <v>discontinuednr</v>
      </c>
      <c r="L664" s="33"/>
      <c r="M664" s="33"/>
    </row>
    <row r="665">
      <c r="A665" s="33"/>
      <c r="B665" s="27" t="s">
        <v>2623</v>
      </c>
      <c r="C665" s="27" t="s">
        <v>2663</v>
      </c>
      <c r="D665" s="27" t="s">
        <v>43</v>
      </c>
      <c r="E665" s="33"/>
      <c r="F665" s="31">
        <f t="shared" si="38"/>
        <v>0</v>
      </c>
      <c r="G665" s="27" t="s">
        <v>2664</v>
      </c>
      <c r="H665" s="27" t="s">
        <v>2665</v>
      </c>
      <c r="I665" s="7" t="str">
        <f>IFERROR(__xludf.DUMMYFUNCTION("regexreplace(lower(C665), ""_"", """")"),"discontinuewdrawsupport")</f>
        <v>discontinuewdrawsupport</v>
      </c>
      <c r="J665" s="9" t="b">
        <f t="shared" si="2"/>
        <v>1</v>
      </c>
      <c r="K665" s="7" t="str">
        <f>IFERROR(__xludf.DUMMYFUNCTION("regexreplace(G665, ""_"", """")"),"discontinuewdrawsupport")</f>
        <v>discontinuewdrawsupport</v>
      </c>
      <c r="L665" s="33"/>
      <c r="M665" s="33"/>
    </row>
    <row r="666">
      <c r="A666" s="33"/>
      <c r="B666" s="27" t="s">
        <v>2623</v>
      </c>
      <c r="C666" s="27" t="s">
        <v>2666</v>
      </c>
      <c r="D666" s="27" t="s">
        <v>43</v>
      </c>
      <c r="E666" s="33"/>
      <c r="F666" s="31">
        <f t="shared" si="38"/>
        <v>1</v>
      </c>
      <c r="G666" s="27" t="s">
        <v>2667</v>
      </c>
      <c r="H666" s="27" t="s">
        <v>2668</v>
      </c>
      <c r="I666" s="7" t="str">
        <f>IFERROR(__xludf.DUMMYFUNCTION("regexreplace(lower(C666), ""_"", """")"),"discontinuedeath")</f>
        <v>discontinuedeath</v>
      </c>
      <c r="J666" s="9" t="b">
        <f t="shared" si="2"/>
        <v>1</v>
      </c>
      <c r="K666" s="7" t="str">
        <f>IFERROR(__xludf.DUMMYFUNCTION("regexreplace(G666, ""_"", """")"),"discontinuedeath")</f>
        <v>discontinuedeath</v>
      </c>
      <c r="L666" s="33" t="s">
        <v>2669</v>
      </c>
      <c r="M666" s="33"/>
    </row>
    <row r="667">
      <c r="A667" s="33"/>
      <c r="B667" s="27" t="s">
        <v>2623</v>
      </c>
      <c r="C667" s="27" t="s">
        <v>2670</v>
      </c>
      <c r="D667" s="27" t="s">
        <v>43</v>
      </c>
      <c r="E667" s="33" t="s">
        <v>2671</v>
      </c>
      <c r="F667" s="31">
        <f t="shared" si="38"/>
        <v>1</v>
      </c>
      <c r="G667" s="27" t="s">
        <v>2672</v>
      </c>
      <c r="H667" s="27" t="s">
        <v>2673</v>
      </c>
      <c r="I667" s="7" t="str">
        <f>IFERROR(__xludf.DUMMYFUNCTION("regexreplace(lower(C667), ""_"", """")"),"discontinueother")</f>
        <v>discontinueother</v>
      </c>
      <c r="J667" s="9" t="b">
        <f t="shared" si="2"/>
        <v>1</v>
      </c>
      <c r="K667" s="7" t="str">
        <f>IFERROR(__xludf.DUMMYFUNCTION("regexreplace(G667, ""_"", """")"),"discontinueother")</f>
        <v>discontinueother</v>
      </c>
      <c r="L667" s="33" t="s">
        <v>2674</v>
      </c>
      <c r="M667" s="33"/>
    </row>
    <row r="668">
      <c r="A668" s="33"/>
      <c r="B668" s="27" t="s">
        <v>2623</v>
      </c>
      <c r="C668" s="27" t="s">
        <v>2675</v>
      </c>
      <c r="D668" s="27" t="s">
        <v>19</v>
      </c>
      <c r="E668" s="33" t="s">
        <v>2676</v>
      </c>
      <c r="F668" s="31">
        <f t="shared" si="38"/>
        <v>2</v>
      </c>
      <c r="G668" s="27" t="s">
        <v>2677</v>
      </c>
      <c r="H668" s="33"/>
      <c r="I668" s="7" t="str">
        <f>IFERROR(__xludf.DUMMYFUNCTION("regexreplace(lower(C668), ""_"", """")"),"discontinueothertext")</f>
        <v>discontinueothertext</v>
      </c>
      <c r="J668" s="9" t="b">
        <f t="shared" si="2"/>
        <v>1</v>
      </c>
      <c r="K668" s="7" t="str">
        <f>IFERROR(__xludf.DUMMYFUNCTION("regexreplace(G668, ""_"", """")"),"discontinueothertext")</f>
        <v>discontinueothertext</v>
      </c>
      <c r="L668" s="33" t="s">
        <v>2678</v>
      </c>
      <c r="M668" s="33" t="s">
        <v>2679</v>
      </c>
    </row>
    <row r="669">
      <c r="A669" s="12"/>
      <c r="B669" s="12"/>
      <c r="C669" s="13"/>
      <c r="D669" s="12"/>
      <c r="E669" s="12"/>
      <c r="F669" s="12"/>
      <c r="G669" s="12"/>
      <c r="H669" s="12"/>
      <c r="I669" s="7" t="str">
        <f>IFERROR(__xludf.DUMMYFUNCTION("regexreplace(lower(C669), ""_"", """")"),"")</f>
        <v/>
      </c>
      <c r="J669" s="9" t="str">
        <f t="shared" si="2"/>
        <v/>
      </c>
      <c r="K669" s="7" t="str">
        <f>IFERROR(__xludf.DUMMYFUNCTION("regexreplace(G669, ""_"", """")"),"")</f>
        <v/>
      </c>
      <c r="L669" s="12"/>
      <c r="M669" s="12"/>
    </row>
    <row r="670">
      <c r="A670" s="12"/>
      <c r="B670" s="12"/>
      <c r="C670" s="13"/>
      <c r="D670" s="12"/>
      <c r="E670" s="12"/>
      <c r="F670" s="12"/>
      <c r="G670" s="12"/>
      <c r="H670" s="12"/>
      <c r="I670" s="7" t="str">
        <f>IFERROR(__xludf.DUMMYFUNCTION("regexreplace(lower(C670), ""_"", """")"),"")</f>
        <v/>
      </c>
      <c r="J670" s="9" t="str">
        <f t="shared" si="2"/>
        <v/>
      </c>
      <c r="K670" s="7" t="str">
        <f>IFERROR(__xludf.DUMMYFUNCTION("regexreplace(G670, ""_"", """")"),"")</f>
        <v/>
      </c>
      <c r="L670" s="12"/>
      <c r="M670" s="12"/>
    </row>
    <row r="671">
      <c r="A671" s="40" t="s">
        <v>2680</v>
      </c>
      <c r="B671" s="40" t="s">
        <v>761</v>
      </c>
      <c r="C671" s="41" t="s">
        <v>2681</v>
      </c>
      <c r="D671" s="42" t="s">
        <v>34</v>
      </c>
      <c r="E671" s="43" t="s">
        <v>2682</v>
      </c>
      <c r="F671" s="44">
        <f t="shared" ref="F671:F729" si="39">counta(L671:M671)</f>
        <v>2</v>
      </c>
      <c r="G671" s="41" t="s">
        <v>2683</v>
      </c>
      <c r="H671" s="43"/>
      <c r="I671" s="7" t="str">
        <f>IFERROR(__xludf.DUMMYFUNCTION("regexreplace(lower(C671), ""_"", """")"),"posttemperaturetimeslotday")</f>
        <v>posttemperaturetimeslotday</v>
      </c>
      <c r="J671" s="9" t="b">
        <f t="shared" si="2"/>
        <v>1</v>
      </c>
      <c r="K671" s="7" t="str">
        <f>IFERROR(__xludf.DUMMYFUNCTION("regexreplace(G671, ""_"", """")"),"posttemperaturetimeslotday")</f>
        <v>posttemperaturetimeslotday</v>
      </c>
      <c r="L671" s="43" t="s">
        <v>2684</v>
      </c>
      <c r="M671" s="43" t="s">
        <v>2685</v>
      </c>
    </row>
    <row r="672">
      <c r="A672" s="43"/>
      <c r="B672" s="40" t="s">
        <v>761</v>
      </c>
      <c r="C672" s="40" t="s">
        <v>2686</v>
      </c>
      <c r="D672" s="40" t="s">
        <v>29</v>
      </c>
      <c r="E672" s="45" t="s">
        <v>2687</v>
      </c>
      <c r="F672" s="44">
        <f t="shared" si="39"/>
        <v>2</v>
      </c>
      <c r="G672" s="40" t="s">
        <v>2688</v>
      </c>
      <c r="H672" s="43"/>
      <c r="I672" s="7" t="str">
        <f>IFERROR(__xludf.DUMMYFUNCTION("regexreplace(lower(C672), ""_"", """")"),"posttemperaturedate")</f>
        <v>posttemperaturedate</v>
      </c>
      <c r="J672" s="9" t="b">
        <f t="shared" si="2"/>
        <v>1</v>
      </c>
      <c r="K672" s="7" t="str">
        <f>IFERROR(__xludf.DUMMYFUNCTION("regexreplace(G672, ""_"", """")"),"posttemperaturedate")</f>
        <v>posttemperaturedate</v>
      </c>
      <c r="L672" s="43" t="s">
        <v>2689</v>
      </c>
      <c r="M672" s="43" t="s">
        <v>2690</v>
      </c>
    </row>
    <row r="673">
      <c r="A673" s="43"/>
      <c r="B673" s="40" t="s">
        <v>761</v>
      </c>
      <c r="C673" s="40" t="s">
        <v>2691</v>
      </c>
      <c r="D673" s="40" t="s">
        <v>148</v>
      </c>
      <c r="E673" s="45" t="s">
        <v>2692</v>
      </c>
      <c r="F673" s="44">
        <f t="shared" si="39"/>
        <v>2</v>
      </c>
      <c r="G673" s="40" t="s">
        <v>2693</v>
      </c>
      <c r="H673" s="43"/>
      <c r="I673" s="7" t="str">
        <f>IFERROR(__xludf.DUMMYFUNCTION("regexreplace(lower(C673), ""_"", """")"),"posttemperaturetime")</f>
        <v>posttemperaturetime</v>
      </c>
      <c r="J673" s="9" t="b">
        <f t="shared" si="2"/>
        <v>1</v>
      </c>
      <c r="K673" s="7" t="str">
        <f>IFERROR(__xludf.DUMMYFUNCTION("regexreplace(G673, ""_"", """")"),"posttemperaturetime")</f>
        <v>posttemperaturetime</v>
      </c>
      <c r="L673" s="43" t="s">
        <v>2694</v>
      </c>
      <c r="M673" s="43" t="s">
        <v>2695</v>
      </c>
    </row>
    <row r="674">
      <c r="A674" s="43"/>
      <c r="B674" s="40" t="s">
        <v>761</v>
      </c>
      <c r="C674" s="40" t="s">
        <v>2696</v>
      </c>
      <c r="D674" s="40" t="s">
        <v>154</v>
      </c>
      <c r="E674" s="43" t="s">
        <v>2697</v>
      </c>
      <c r="F674" s="44">
        <f t="shared" si="39"/>
        <v>2</v>
      </c>
      <c r="G674" s="40" t="s">
        <v>2698</v>
      </c>
      <c r="H674" s="43"/>
      <c r="I674" s="7" t="str">
        <f>IFERROR(__xludf.DUMMYFUNCTION("regexreplace(lower(C674), ""_"", """")"),"postskintemperaturec")</f>
        <v>postskintemperaturec</v>
      </c>
      <c r="J674" s="9" t="b">
        <f t="shared" si="2"/>
        <v>1</v>
      </c>
      <c r="K674" s="7" t="str">
        <f>IFERROR(__xludf.DUMMYFUNCTION("regexreplace(G674, ""_"", """")"),"postskintemperaturec")</f>
        <v>postskintemperaturec</v>
      </c>
      <c r="L674" s="43" t="s">
        <v>2699</v>
      </c>
      <c r="M674" s="43" t="s">
        <v>2700</v>
      </c>
    </row>
    <row r="675">
      <c r="A675" s="43"/>
      <c r="B675" s="40" t="s">
        <v>761</v>
      </c>
      <c r="C675" s="40" t="s">
        <v>2701</v>
      </c>
      <c r="D675" s="40" t="s">
        <v>154</v>
      </c>
      <c r="E675" s="43" t="s">
        <v>2702</v>
      </c>
      <c r="F675" s="44">
        <f t="shared" si="39"/>
        <v>2</v>
      </c>
      <c r="G675" s="40" t="s">
        <v>2703</v>
      </c>
      <c r="H675" s="43"/>
      <c r="I675" s="7" t="str">
        <f>IFERROR(__xludf.DUMMYFUNCTION("regexreplace(lower(C675), ""_"", """")"),"postaxillarytemperaturec")</f>
        <v>postaxillarytemperaturec</v>
      </c>
      <c r="J675" s="9" t="b">
        <f t="shared" si="2"/>
        <v>1</v>
      </c>
      <c r="K675" s="7" t="str">
        <f>IFERROR(__xludf.DUMMYFUNCTION("regexreplace(G675, ""_"", """")"),"postaxillarytemperaturec")</f>
        <v>postaxillarytemperaturec</v>
      </c>
      <c r="L675" s="43" t="s">
        <v>2704</v>
      </c>
      <c r="M675" s="43" t="s">
        <v>2705</v>
      </c>
    </row>
    <row r="676">
      <c r="A676" s="43"/>
      <c r="B676" s="40" t="s">
        <v>761</v>
      </c>
      <c r="C676" s="40" t="s">
        <v>2706</v>
      </c>
      <c r="D676" s="40" t="s">
        <v>43</v>
      </c>
      <c r="E676" s="45" t="s">
        <v>2707</v>
      </c>
      <c r="F676" s="44">
        <f t="shared" si="39"/>
        <v>1</v>
      </c>
      <c r="G676" s="40" t="s">
        <v>2708</v>
      </c>
      <c r="H676" s="43"/>
      <c r="I676" s="7" t="str">
        <f>IFERROR(__xludf.DUMMYFUNCTION("regexreplace(lower(C676), ""_"", """")"),"postalterationskinintegrity")</f>
        <v>postalterationskinintegrity</v>
      </c>
      <c r="J676" s="9" t="b">
        <f t="shared" si="2"/>
        <v>1</v>
      </c>
      <c r="K676" s="7" t="str">
        <f>IFERROR(__xludf.DUMMYFUNCTION("regexreplace(G676, ""_"", """")"),"postalterationskinintegrity")</f>
        <v>postalterationskinintegrity</v>
      </c>
      <c r="L676" s="43"/>
      <c r="M676" s="43" t="s">
        <v>2709</v>
      </c>
    </row>
    <row r="677">
      <c r="A677" s="43"/>
      <c r="B677" s="40" t="s">
        <v>761</v>
      </c>
      <c r="C677" s="40" t="s">
        <v>2710</v>
      </c>
      <c r="D677" s="40" t="s">
        <v>43</v>
      </c>
      <c r="E677" s="45" t="s">
        <v>2711</v>
      </c>
      <c r="F677" s="44">
        <f t="shared" si="39"/>
        <v>1</v>
      </c>
      <c r="G677" s="40" t="s">
        <v>2712</v>
      </c>
      <c r="H677" s="43"/>
      <c r="I677" s="7" t="str">
        <f>IFERROR(__xludf.DUMMYFUNCTION("regexreplace(lower(C677), ""_"", """")"),"postshiver")</f>
        <v>postshiver</v>
      </c>
      <c r="J677" s="9" t="b">
        <f t="shared" si="2"/>
        <v>1</v>
      </c>
      <c r="K677" s="7" t="str">
        <f>IFERROR(__xludf.DUMMYFUNCTION("regexreplace(G677, ""_"", """")"),"postshiver")</f>
        <v>postshiver</v>
      </c>
      <c r="L677" s="43"/>
      <c r="M677" s="43" t="s">
        <v>2713</v>
      </c>
    </row>
    <row r="678">
      <c r="A678" s="43"/>
      <c r="B678" s="43"/>
      <c r="C678" s="40"/>
      <c r="D678" s="43"/>
      <c r="E678" s="43"/>
      <c r="F678" s="44">
        <f t="shared" si="39"/>
        <v>0</v>
      </c>
      <c r="G678" s="43"/>
      <c r="H678" s="43"/>
      <c r="I678" s="7" t="str">
        <f>IFERROR(__xludf.DUMMYFUNCTION("regexreplace(lower(C678), ""_"", """")"),"")</f>
        <v/>
      </c>
      <c r="J678" s="9" t="str">
        <f t="shared" si="2"/>
        <v/>
      </c>
      <c r="K678" s="7" t="str">
        <f>IFERROR(__xludf.DUMMYFUNCTION("regexreplace(G678, ""_"", """")"),"")</f>
        <v/>
      </c>
      <c r="L678" s="43"/>
      <c r="M678" s="43"/>
    </row>
    <row r="679">
      <c r="A679" s="43"/>
      <c r="B679" s="40" t="s">
        <v>761</v>
      </c>
      <c r="C679" s="40" t="s">
        <v>2714</v>
      </c>
      <c r="D679" s="40" t="s">
        <v>43</v>
      </c>
      <c r="E679" s="43" t="s">
        <v>2715</v>
      </c>
      <c r="F679" s="44">
        <f t="shared" si="39"/>
        <v>1</v>
      </c>
      <c r="G679" s="40" t="s">
        <v>2716</v>
      </c>
      <c r="H679" s="43"/>
      <c r="I679" s="7" t="str">
        <f>IFERROR(__xludf.DUMMYFUNCTION("regexreplace(lower(C679), ""_"", """")"),"normothermiaatendintervention")</f>
        <v>normothermiaatendintervention</v>
      </c>
      <c r="J679" s="9" t="b">
        <f t="shared" si="2"/>
        <v>1</v>
      </c>
      <c r="K679" s="7" t="str">
        <f>IFERROR(__xludf.DUMMYFUNCTION("regexreplace(G679, ""_"", """")"),"normothermiaatendintervention")</f>
        <v>normothermiaatendintervention</v>
      </c>
      <c r="L679" s="43"/>
      <c r="M679" s="43" t="s">
        <v>2717</v>
      </c>
    </row>
    <row r="680">
      <c r="A680" s="43"/>
      <c r="B680" s="40" t="s">
        <v>761</v>
      </c>
      <c r="C680" s="40" t="s">
        <v>2718</v>
      </c>
      <c r="D680" s="40" t="s">
        <v>29</v>
      </c>
      <c r="E680" s="45" t="s">
        <v>2719</v>
      </c>
      <c r="F680" s="44">
        <f t="shared" si="39"/>
        <v>1</v>
      </c>
      <c r="G680" s="40" t="s">
        <v>2720</v>
      </c>
      <c r="H680" s="43"/>
      <c r="I680" s="7" t="str">
        <f>IFERROR(__xludf.DUMMYFUNCTION("regexreplace(lower(C680), ""_"", """")"),"normothermiadate")</f>
        <v>normothermiadate</v>
      </c>
      <c r="J680" s="9" t="b">
        <f t="shared" si="2"/>
        <v>1</v>
      </c>
      <c r="K680" s="7" t="str">
        <f>IFERROR(__xludf.DUMMYFUNCTION("regexreplace(G680, ""_"", """")"),"normothermiadate")</f>
        <v>normothermiadate</v>
      </c>
      <c r="L680" s="43"/>
      <c r="M680" s="43" t="s">
        <v>2721</v>
      </c>
    </row>
    <row r="681">
      <c r="A681" s="43"/>
      <c r="B681" s="40" t="s">
        <v>761</v>
      </c>
      <c r="C681" s="40" t="s">
        <v>2722</v>
      </c>
      <c r="D681" s="40" t="s">
        <v>148</v>
      </c>
      <c r="E681" s="45" t="s">
        <v>2723</v>
      </c>
      <c r="F681" s="44">
        <f t="shared" si="39"/>
        <v>1</v>
      </c>
      <c r="G681" s="40" t="s">
        <v>2724</v>
      </c>
      <c r="H681" s="43"/>
      <c r="I681" s="7" t="str">
        <f>IFERROR(__xludf.DUMMYFUNCTION("regexreplace(lower(C681), ""_"", """")"),"normothermiatime")</f>
        <v>normothermiatime</v>
      </c>
      <c r="J681" s="9" t="b">
        <f t="shared" si="2"/>
        <v>1</v>
      </c>
      <c r="K681" s="7" t="str">
        <f>IFERROR(__xludf.DUMMYFUNCTION("regexreplace(G681, ""_"", """")"),"normothermiatime")</f>
        <v>normothermiatime</v>
      </c>
      <c r="L681" s="43"/>
      <c r="M681" s="43" t="s">
        <v>2725</v>
      </c>
    </row>
    <row r="682">
      <c r="A682" s="43"/>
      <c r="B682" s="40" t="s">
        <v>761</v>
      </c>
      <c r="C682" s="40" t="s">
        <v>2726</v>
      </c>
      <c r="D682" s="40" t="s">
        <v>154</v>
      </c>
      <c r="E682" s="43" t="s">
        <v>2727</v>
      </c>
      <c r="F682" s="44">
        <f t="shared" si="39"/>
        <v>1</v>
      </c>
      <c r="G682" s="40" t="s">
        <v>2728</v>
      </c>
      <c r="H682" s="43"/>
      <c r="I682" s="7" t="str">
        <f>IFERROR(__xludf.DUMMYFUNCTION("regexreplace(lower(C682), ""_"", """")"),"normothermiaaxillarytemperaturec")</f>
        <v>normothermiaaxillarytemperaturec</v>
      </c>
      <c r="J682" s="9" t="b">
        <f t="shared" si="2"/>
        <v>1</v>
      </c>
      <c r="K682" s="7" t="str">
        <f>IFERROR(__xludf.DUMMYFUNCTION("regexreplace(G682, ""_"", """")"),"normothermiaaxillarytemperaturec")</f>
        <v>normothermiaaxillarytemperaturec</v>
      </c>
      <c r="L682" s="43"/>
      <c r="M682" s="43" t="s">
        <v>2729</v>
      </c>
    </row>
    <row r="683">
      <c r="A683" s="43"/>
      <c r="B683" s="40" t="s">
        <v>761</v>
      </c>
      <c r="C683" s="40" t="s">
        <v>2730</v>
      </c>
      <c r="D683" s="40" t="s">
        <v>19</v>
      </c>
      <c r="E683" s="43" t="s">
        <v>2731</v>
      </c>
      <c r="F683" s="44">
        <f t="shared" si="39"/>
        <v>1</v>
      </c>
      <c r="G683" s="40" t="s">
        <v>2732</v>
      </c>
      <c r="H683" s="43"/>
      <c r="I683" s="7" t="str">
        <f>IFERROR(__xludf.DUMMYFUNCTION("regexreplace(lower(C683), ""_"", """")"),"nonormothermiareason")</f>
        <v>nonormothermiareason</v>
      </c>
      <c r="J683" s="9" t="b">
        <f t="shared" si="2"/>
        <v>1</v>
      </c>
      <c r="K683" s="7" t="str">
        <f>IFERROR(__xludf.DUMMYFUNCTION("regexreplace(G683, ""_"", """")"),"nonormothermiareason")</f>
        <v>nonormothermiareason</v>
      </c>
      <c r="L683" s="43"/>
      <c r="M683" s="43" t="s">
        <v>2733</v>
      </c>
    </row>
    <row r="684">
      <c r="A684" s="43"/>
      <c r="B684" s="40" t="s">
        <v>761</v>
      </c>
      <c r="C684" s="40" t="s">
        <v>2734</v>
      </c>
      <c r="D684" s="40" t="s">
        <v>2734</v>
      </c>
      <c r="E684" s="43" t="s">
        <v>2735</v>
      </c>
      <c r="F684" s="44">
        <f t="shared" si="39"/>
        <v>1</v>
      </c>
      <c r="G684" s="40" t="s">
        <v>2736</v>
      </c>
      <c r="H684" s="43"/>
      <c r="I684" s="7" t="str">
        <f>IFERROR(__xludf.DUMMYFUNCTION("regexreplace(lower(C684), ""_"", """")"),"coolafterintervention")</f>
        <v>coolafterintervention</v>
      </c>
      <c r="J684" s="9" t="b">
        <f t="shared" si="2"/>
        <v>1</v>
      </c>
      <c r="K684" s="7" t="str">
        <f>IFERROR(__xludf.DUMMYFUNCTION("regexreplace(G684, ""_"", """")"),"coolafterintervention")</f>
        <v>coolafterintervention</v>
      </c>
      <c r="L684" s="43"/>
      <c r="M684" s="43" t="s">
        <v>2737</v>
      </c>
    </row>
    <row r="685">
      <c r="A685" s="43"/>
      <c r="B685" s="40" t="s">
        <v>761</v>
      </c>
      <c r="C685" s="40" t="s">
        <v>2738</v>
      </c>
      <c r="D685" s="40" t="s">
        <v>19</v>
      </c>
      <c r="E685" s="45" t="s">
        <v>2739</v>
      </c>
      <c r="F685" s="44">
        <f t="shared" si="39"/>
        <v>1</v>
      </c>
      <c r="G685" s="40" t="s">
        <v>2740</v>
      </c>
      <c r="H685" s="43"/>
      <c r="I685" s="7" t="str">
        <f>IFERROR(__xludf.DUMMYFUNCTION("regexreplace(lower(C685), ""_"", """")"),"coolafterinterventiontext")</f>
        <v>coolafterinterventiontext</v>
      </c>
      <c r="J685" s="9" t="b">
        <f t="shared" si="2"/>
        <v>1</v>
      </c>
      <c r="K685" s="7" t="str">
        <f>IFERROR(__xludf.DUMMYFUNCTION("regexreplace(G685, ""_"", """")"),"coolafterinterventiontext")</f>
        <v>coolafterinterventiontext</v>
      </c>
      <c r="L685" s="43"/>
      <c r="M685" s="43" t="s">
        <v>2741</v>
      </c>
    </row>
    <row r="686">
      <c r="A686" s="12"/>
      <c r="B686" s="12"/>
      <c r="C686" s="13"/>
      <c r="D686" s="12"/>
      <c r="E686" s="12"/>
      <c r="F686" s="14">
        <f t="shared" si="39"/>
        <v>0</v>
      </c>
      <c r="G686" s="12"/>
      <c r="H686" s="12"/>
      <c r="I686" s="7" t="str">
        <f>IFERROR(__xludf.DUMMYFUNCTION("regexreplace(lower(C686), ""_"", """")"),"")</f>
        <v/>
      </c>
      <c r="J686" s="9" t="str">
        <f t="shared" si="2"/>
        <v/>
      </c>
      <c r="K686" s="7" t="str">
        <f>IFERROR(__xludf.DUMMYFUNCTION("regexreplace(G686, ""_"", """")"),"")</f>
        <v/>
      </c>
      <c r="L686" s="12"/>
      <c r="M686" s="12"/>
    </row>
    <row r="687">
      <c r="A687" s="40" t="s">
        <v>2680</v>
      </c>
      <c r="B687" s="40" t="s">
        <v>1582</v>
      </c>
      <c r="C687" s="40" t="s">
        <v>2742</v>
      </c>
      <c r="D687" s="40" t="s">
        <v>154</v>
      </c>
      <c r="E687" s="43" t="s">
        <v>2743</v>
      </c>
      <c r="F687" s="44">
        <f t="shared" si="39"/>
        <v>1</v>
      </c>
      <c r="G687" s="40" t="s">
        <v>2744</v>
      </c>
      <c r="H687" s="43"/>
      <c r="I687" s="7" t="str">
        <f>IFERROR(__xludf.DUMMYFUNCTION("regexreplace(lower(C687), ""_"", """")"),"postbloodvalueastsgotuperl")</f>
        <v>postbloodvalueastsgotuperl</v>
      </c>
      <c r="J687" s="9" t="b">
        <f t="shared" si="2"/>
        <v>1</v>
      </c>
      <c r="K687" s="7" t="str">
        <f>IFERROR(__xludf.DUMMYFUNCTION("regexreplace(G687, ""_"", """")"),"postbloodvalueastsgotuperl")</f>
        <v>postbloodvalueastsgotuperl</v>
      </c>
      <c r="L687" s="43"/>
      <c r="M687" s="43" t="s">
        <v>2745</v>
      </c>
    </row>
    <row r="688">
      <c r="A688" s="43"/>
      <c r="B688" s="40" t="s">
        <v>1582</v>
      </c>
      <c r="C688" s="40" t="s">
        <v>2746</v>
      </c>
      <c r="D688" s="40" t="s">
        <v>29</v>
      </c>
      <c r="E688" s="43" t="s">
        <v>2747</v>
      </c>
      <c r="F688" s="44">
        <f t="shared" si="39"/>
        <v>1</v>
      </c>
      <c r="G688" s="40" t="s">
        <v>2748</v>
      </c>
      <c r="H688" s="43"/>
      <c r="I688" s="7" t="str">
        <f>IFERROR(__xludf.DUMMYFUNCTION("regexreplace(lower(C688), ""_"", """")"),"postbloodvalueastsgotuperldate")</f>
        <v>postbloodvalueastsgotuperldate</v>
      </c>
      <c r="J688" s="9" t="b">
        <f t="shared" si="2"/>
        <v>1</v>
      </c>
      <c r="K688" s="7" t="str">
        <f>IFERROR(__xludf.DUMMYFUNCTION("regexreplace(G688, ""_"", """")"),"postbloodvalueastsgotuperldate")</f>
        <v>postbloodvalueastsgotuperldate</v>
      </c>
      <c r="L688" s="43"/>
      <c r="M688" s="43" t="s">
        <v>2749</v>
      </c>
    </row>
    <row r="689">
      <c r="A689" s="43"/>
      <c r="B689" s="40" t="s">
        <v>1582</v>
      </c>
      <c r="C689" s="40" t="s">
        <v>2750</v>
      </c>
      <c r="D689" s="40" t="s">
        <v>154</v>
      </c>
      <c r="E689" s="43" t="s">
        <v>2751</v>
      </c>
      <c r="F689" s="44">
        <f t="shared" si="39"/>
        <v>1</v>
      </c>
      <c r="G689" s="40" t="s">
        <v>2752</v>
      </c>
      <c r="H689" s="43"/>
      <c r="I689" s="7" t="str">
        <f>IFERROR(__xludf.DUMMYFUNCTION("regexreplace(lower(C689), ""_"", """")"),"postbloodvaluealtsgptuperl")</f>
        <v>postbloodvaluealtsgptuperl</v>
      </c>
      <c r="J689" s="9" t="b">
        <f t="shared" si="2"/>
        <v>1</v>
      </c>
      <c r="K689" s="7" t="str">
        <f>IFERROR(__xludf.DUMMYFUNCTION("regexreplace(G689, ""_"", """")"),"postbloodvaluealtsgptuperl")</f>
        <v>postbloodvaluealtsgptuperl</v>
      </c>
      <c r="L689" s="43"/>
      <c r="M689" s="43" t="s">
        <v>2753</v>
      </c>
    </row>
    <row r="690">
      <c r="A690" s="43"/>
      <c r="B690" s="40" t="s">
        <v>1582</v>
      </c>
      <c r="C690" s="40" t="s">
        <v>2754</v>
      </c>
      <c r="D690" s="40" t="s">
        <v>29</v>
      </c>
      <c r="E690" s="43" t="s">
        <v>2755</v>
      </c>
      <c r="F690" s="44">
        <f t="shared" si="39"/>
        <v>1</v>
      </c>
      <c r="G690" s="40" t="s">
        <v>2756</v>
      </c>
      <c r="H690" s="43"/>
      <c r="I690" s="7" t="str">
        <f>IFERROR(__xludf.DUMMYFUNCTION("regexreplace(lower(C690), ""_"", """")"),"postbloodvaluealtsgptuperldate")</f>
        <v>postbloodvaluealtsgptuperldate</v>
      </c>
      <c r="J690" s="9" t="b">
        <f t="shared" si="2"/>
        <v>1</v>
      </c>
      <c r="K690" s="7" t="str">
        <f>IFERROR(__xludf.DUMMYFUNCTION("regexreplace(G690, ""_"", """")"),"postbloodvaluealtsgptuperldate")</f>
        <v>postbloodvaluealtsgptuperldate</v>
      </c>
      <c r="L690" s="43"/>
      <c r="M690" s="43" t="s">
        <v>2757</v>
      </c>
    </row>
    <row r="691">
      <c r="A691" s="43"/>
      <c r="B691" s="40" t="s">
        <v>1582</v>
      </c>
      <c r="C691" s="40" t="s">
        <v>2758</v>
      </c>
      <c r="D691" s="40" t="s">
        <v>154</v>
      </c>
      <c r="E691" s="43" t="s">
        <v>2759</v>
      </c>
      <c r="F691" s="44">
        <f t="shared" si="39"/>
        <v>1</v>
      </c>
      <c r="G691" s="40" t="s">
        <v>2760</v>
      </c>
      <c r="H691" s="43"/>
      <c r="I691" s="7" t="str">
        <f>IFERROR(__xludf.DUMMYFUNCTION("regexreplace(lower(C691), ""_"", """")"),"postbloodvaluetotalbilirubinmgperdl")</f>
        <v>postbloodvaluetotalbilirubinmgperdl</v>
      </c>
      <c r="J691" s="9" t="b">
        <f t="shared" si="2"/>
        <v>1</v>
      </c>
      <c r="K691" s="7" t="str">
        <f>IFERROR(__xludf.DUMMYFUNCTION("regexreplace(G691, ""_"", """")"),"postbloodvaluetotalbilirubinmgperdl")</f>
        <v>postbloodvaluetotalbilirubinmgperdl</v>
      </c>
      <c r="L691" s="43"/>
      <c r="M691" s="43" t="s">
        <v>2761</v>
      </c>
    </row>
    <row r="692">
      <c r="A692" s="43"/>
      <c r="B692" s="40" t="s">
        <v>1582</v>
      </c>
      <c r="C692" s="40" t="s">
        <v>2762</v>
      </c>
      <c r="D692" s="40" t="s">
        <v>29</v>
      </c>
      <c r="E692" s="43" t="s">
        <v>2763</v>
      </c>
      <c r="F692" s="44">
        <f t="shared" si="39"/>
        <v>1</v>
      </c>
      <c r="G692" s="40" t="s">
        <v>2764</v>
      </c>
      <c r="H692" s="43"/>
      <c r="I692" s="7" t="str">
        <f>IFERROR(__xludf.DUMMYFUNCTION("regexreplace(lower(C692), ""_"", """")"),"postbloodvaluetotalbilirubinmgperdldate")</f>
        <v>postbloodvaluetotalbilirubinmgperdldate</v>
      </c>
      <c r="J692" s="9" t="b">
        <f t="shared" si="2"/>
        <v>1</v>
      </c>
      <c r="K692" s="7" t="str">
        <f>IFERROR(__xludf.DUMMYFUNCTION("regexreplace(G692, ""_"", """")"),"postbloodvaluetotalbilirubinmgperdldate")</f>
        <v>postbloodvaluetotalbilirubinmgperdldate</v>
      </c>
      <c r="L692" s="43"/>
      <c r="M692" s="43" t="s">
        <v>2765</v>
      </c>
    </row>
    <row r="693">
      <c r="A693" s="12"/>
      <c r="B693" s="12"/>
      <c r="C693" s="13"/>
      <c r="D693" s="12"/>
      <c r="E693" s="12"/>
      <c r="F693" s="14">
        <f t="shared" si="39"/>
        <v>0</v>
      </c>
      <c r="G693" s="12" t="s">
        <v>913</v>
      </c>
      <c r="H693" s="12"/>
      <c r="I693" s="7" t="str">
        <f>IFERROR(__xludf.DUMMYFUNCTION("regexreplace(lower(C693), ""_"", """")"),"")</f>
        <v/>
      </c>
      <c r="J693" s="9" t="str">
        <f t="shared" si="2"/>
        <v/>
      </c>
      <c r="K693" s="7" t="str">
        <f>IFERROR(__xludf.DUMMYFUNCTION("regexreplace(G693, ""_"", """")"),"")</f>
        <v/>
      </c>
      <c r="L693" s="12"/>
      <c r="M693" s="12"/>
    </row>
    <row r="694">
      <c r="A694" s="40" t="s">
        <v>2680</v>
      </c>
      <c r="B694" s="40" t="s">
        <v>1100</v>
      </c>
      <c r="C694" s="40" t="s">
        <v>2766</v>
      </c>
      <c r="D694" s="40" t="s">
        <v>43</v>
      </c>
      <c r="E694" s="43" t="s">
        <v>1102</v>
      </c>
      <c r="F694" s="44">
        <f t="shared" si="39"/>
        <v>0</v>
      </c>
      <c r="G694" s="40" t="s">
        <v>2767</v>
      </c>
      <c r="H694" s="40" t="s">
        <v>2768</v>
      </c>
      <c r="I694" s="7" t="str">
        <f>IFERROR(__xludf.DUMMYFUNCTION("regexreplace(lower(C694), ""_"", """")"),"postheadsonogram")</f>
        <v>postheadsonogram</v>
      </c>
      <c r="J694" s="9" t="b">
        <f t="shared" si="2"/>
        <v>1</v>
      </c>
      <c r="K694" s="7" t="str">
        <f>IFERROR(__xludf.DUMMYFUNCTION("regexreplace(G694, ""_"", """")"),"postheadsonogram")</f>
        <v>postheadsonogram</v>
      </c>
      <c r="L694" s="43"/>
      <c r="M694" s="43"/>
    </row>
    <row r="695">
      <c r="A695" s="43"/>
      <c r="B695" s="40" t="s">
        <v>1100</v>
      </c>
      <c r="C695" s="40" t="s">
        <v>2769</v>
      </c>
      <c r="D695" s="40" t="s">
        <v>29</v>
      </c>
      <c r="E695" s="43" t="s">
        <v>1105</v>
      </c>
      <c r="F695" s="44">
        <f t="shared" si="39"/>
        <v>0</v>
      </c>
      <c r="G695" s="40" t="s">
        <v>2770</v>
      </c>
      <c r="H695" s="43"/>
      <c r="I695" s="7" t="str">
        <f>IFERROR(__xludf.DUMMYFUNCTION("regexreplace(lower(C695), ""_"", """")"),"postheadsonogramdate")</f>
        <v>postheadsonogramdate</v>
      </c>
      <c r="J695" s="9" t="b">
        <f t="shared" si="2"/>
        <v>1</v>
      </c>
      <c r="K695" s="7" t="str">
        <f>IFERROR(__xludf.DUMMYFUNCTION("regexreplace(G695, ""_"", """")"),"postheadsonogramdate")</f>
        <v>postheadsonogramdate</v>
      </c>
      <c r="L695" s="43"/>
      <c r="M695" s="43"/>
    </row>
    <row r="696">
      <c r="A696" s="43"/>
      <c r="B696" s="40" t="s">
        <v>1100</v>
      </c>
      <c r="C696" s="40" t="s">
        <v>2771</v>
      </c>
      <c r="D696" s="40" t="s">
        <v>148</v>
      </c>
      <c r="E696" s="43" t="s">
        <v>1108</v>
      </c>
      <c r="F696" s="44">
        <f t="shared" si="39"/>
        <v>0</v>
      </c>
      <c r="G696" s="40" t="s">
        <v>2772</v>
      </c>
      <c r="H696" s="43"/>
      <c r="I696" s="7" t="str">
        <f>IFERROR(__xludf.DUMMYFUNCTION("regexreplace(lower(C696), ""_"", """")"),"postheadsonogramtime")</f>
        <v>postheadsonogramtime</v>
      </c>
      <c r="J696" s="9" t="b">
        <f t="shared" si="2"/>
        <v>1</v>
      </c>
      <c r="K696" s="7" t="str">
        <f>IFERROR(__xludf.DUMMYFUNCTION("regexreplace(G696, ""_"", """")"),"postheadsonogramtime")</f>
        <v>postheadsonogramtime</v>
      </c>
      <c r="L696" s="43"/>
      <c r="M696" s="43"/>
    </row>
    <row r="697">
      <c r="A697" s="43"/>
      <c r="B697" s="40" t="s">
        <v>1100</v>
      </c>
      <c r="C697" s="40" t="s">
        <v>2773</v>
      </c>
      <c r="D697" s="40" t="s">
        <v>1111</v>
      </c>
      <c r="E697" s="43" t="s">
        <v>1112</v>
      </c>
      <c r="F697" s="44">
        <f t="shared" si="39"/>
        <v>0</v>
      </c>
      <c r="G697" s="40" t="s">
        <v>2774</v>
      </c>
      <c r="H697" s="43"/>
      <c r="I697" s="7" t="str">
        <f>IFERROR(__xludf.DUMMYFUNCTION("regexreplace(lower(C697), ""_"", """")"),"postheadsonogramresult1")</f>
        <v>postheadsonogramresult1</v>
      </c>
      <c r="J697" s="9" t="b">
        <f t="shared" si="2"/>
        <v>1</v>
      </c>
      <c r="K697" s="7" t="str">
        <f>IFERROR(__xludf.DUMMYFUNCTION("regexreplace(G697, ""_"", """")"),"postheadsonogramresult1")</f>
        <v>postheadsonogramresult1</v>
      </c>
      <c r="L697" s="43"/>
      <c r="M697" s="43"/>
    </row>
    <row r="698">
      <c r="A698" s="43"/>
      <c r="B698" s="40" t="s">
        <v>1100</v>
      </c>
      <c r="C698" s="40" t="s">
        <v>2775</v>
      </c>
      <c r="D698" s="40" t="s">
        <v>1111</v>
      </c>
      <c r="E698" s="43" t="s">
        <v>1115</v>
      </c>
      <c r="F698" s="44">
        <f t="shared" si="39"/>
        <v>0</v>
      </c>
      <c r="G698" s="40" t="s">
        <v>2776</v>
      </c>
      <c r="H698" s="43"/>
      <c r="I698" s="7" t="str">
        <f>IFERROR(__xludf.DUMMYFUNCTION("regexreplace(lower(C698), ""_"", """")"),"postheadsonogramresult2")</f>
        <v>postheadsonogramresult2</v>
      </c>
      <c r="J698" s="9" t="b">
        <f t="shared" si="2"/>
        <v>1</v>
      </c>
      <c r="K698" s="7" t="str">
        <f>IFERROR(__xludf.DUMMYFUNCTION("regexreplace(G698, ""_"", """")"),"postheadsonogramresult2")</f>
        <v>postheadsonogramresult2</v>
      </c>
      <c r="L698" s="43"/>
      <c r="M698" s="43"/>
    </row>
    <row r="699">
      <c r="A699" s="43"/>
      <c r="B699" s="40" t="s">
        <v>1100</v>
      </c>
      <c r="C699" s="40" t="s">
        <v>2777</v>
      </c>
      <c r="D699" s="40" t="s">
        <v>1111</v>
      </c>
      <c r="E699" s="43" t="s">
        <v>1118</v>
      </c>
      <c r="F699" s="44">
        <f t="shared" si="39"/>
        <v>0</v>
      </c>
      <c r="G699" s="40" t="s">
        <v>2778</v>
      </c>
      <c r="H699" s="43"/>
      <c r="I699" s="7" t="str">
        <f>IFERROR(__xludf.DUMMYFUNCTION("regexreplace(lower(C699), ""_"", """")"),"postheadsonogramresult3")</f>
        <v>postheadsonogramresult3</v>
      </c>
      <c r="J699" s="9" t="b">
        <f t="shared" si="2"/>
        <v>1</v>
      </c>
      <c r="K699" s="7" t="str">
        <f>IFERROR(__xludf.DUMMYFUNCTION("regexreplace(G699, ""_"", """")"),"postheadsonogramresult3")</f>
        <v>postheadsonogramresult3</v>
      </c>
      <c r="L699" s="43"/>
      <c r="M699" s="43"/>
    </row>
    <row r="700">
      <c r="A700" s="43"/>
      <c r="B700" s="40" t="s">
        <v>1100</v>
      </c>
      <c r="C700" s="40" t="s">
        <v>2779</v>
      </c>
      <c r="D700" s="40" t="s">
        <v>1111</v>
      </c>
      <c r="E700" s="43" t="s">
        <v>1121</v>
      </c>
      <c r="F700" s="44">
        <f t="shared" si="39"/>
        <v>0</v>
      </c>
      <c r="G700" s="40" t="s">
        <v>2780</v>
      </c>
      <c r="H700" s="43"/>
      <c r="I700" s="7" t="str">
        <f>IFERROR(__xludf.DUMMYFUNCTION("regexreplace(lower(C700), ""_"", """")"),"postheadsonogramresult4")</f>
        <v>postheadsonogramresult4</v>
      </c>
      <c r="J700" s="9" t="b">
        <f t="shared" si="2"/>
        <v>1</v>
      </c>
      <c r="K700" s="7" t="str">
        <f>IFERROR(__xludf.DUMMYFUNCTION("regexreplace(G700, ""_"", """")"),"postheadsonogramresult4")</f>
        <v>postheadsonogramresult4</v>
      </c>
      <c r="L700" s="43"/>
      <c r="M700" s="43"/>
    </row>
    <row r="701">
      <c r="A701" s="43"/>
      <c r="B701" s="40" t="s">
        <v>1100</v>
      </c>
      <c r="C701" s="40" t="s">
        <v>2781</v>
      </c>
      <c r="D701" s="40" t="s">
        <v>1111</v>
      </c>
      <c r="E701" s="43" t="s">
        <v>1124</v>
      </c>
      <c r="F701" s="44">
        <f t="shared" si="39"/>
        <v>0</v>
      </c>
      <c r="G701" s="40" t="s">
        <v>2782</v>
      </c>
      <c r="H701" s="43"/>
      <c r="I701" s="7" t="str">
        <f>IFERROR(__xludf.DUMMYFUNCTION("regexreplace(lower(C701), ""_"", """")"),"postheadsonogramresult5")</f>
        <v>postheadsonogramresult5</v>
      </c>
      <c r="J701" s="9" t="b">
        <f t="shared" si="2"/>
        <v>1</v>
      </c>
      <c r="K701" s="7" t="str">
        <f>IFERROR(__xludf.DUMMYFUNCTION("regexreplace(G701, ""_"", """")"),"postheadsonogramresult5")</f>
        <v>postheadsonogramresult5</v>
      </c>
      <c r="L701" s="43"/>
      <c r="M701" s="43"/>
    </row>
    <row r="702">
      <c r="A702" s="43"/>
      <c r="B702" s="40" t="s">
        <v>1100</v>
      </c>
      <c r="C702" s="40" t="s">
        <v>2783</v>
      </c>
      <c r="D702" s="40" t="s">
        <v>1111</v>
      </c>
      <c r="E702" s="43" t="s">
        <v>1127</v>
      </c>
      <c r="F702" s="44">
        <f t="shared" si="39"/>
        <v>0</v>
      </c>
      <c r="G702" s="40" t="s">
        <v>2784</v>
      </c>
      <c r="H702" s="43"/>
      <c r="I702" s="7" t="str">
        <f>IFERROR(__xludf.DUMMYFUNCTION("regexreplace(lower(C702), ""_"", """")"),"postheadsonogramresult6")</f>
        <v>postheadsonogramresult6</v>
      </c>
      <c r="J702" s="9" t="b">
        <f t="shared" si="2"/>
        <v>1</v>
      </c>
      <c r="K702" s="7" t="str">
        <f>IFERROR(__xludf.DUMMYFUNCTION("regexreplace(G702, ""_"", """")"),"postheadsonogramresult6")</f>
        <v>postheadsonogramresult6</v>
      </c>
      <c r="L702" s="43"/>
      <c r="M702" s="43"/>
    </row>
    <row r="703">
      <c r="A703" s="43"/>
      <c r="B703" s="40" t="s">
        <v>1100</v>
      </c>
      <c r="C703" s="40" t="s">
        <v>2785</v>
      </c>
      <c r="D703" s="40" t="s">
        <v>1111</v>
      </c>
      <c r="E703" s="43" t="s">
        <v>1130</v>
      </c>
      <c r="F703" s="44">
        <f t="shared" si="39"/>
        <v>0</v>
      </c>
      <c r="G703" s="40" t="s">
        <v>2786</v>
      </c>
      <c r="H703" s="43"/>
      <c r="I703" s="7" t="str">
        <f>IFERROR(__xludf.DUMMYFUNCTION("regexreplace(lower(C703), ""_"", """")"),"postheadsonogramresult7")</f>
        <v>postheadsonogramresult7</v>
      </c>
      <c r="J703" s="9" t="b">
        <f t="shared" si="2"/>
        <v>1</v>
      </c>
      <c r="K703" s="7" t="str">
        <f>IFERROR(__xludf.DUMMYFUNCTION("regexreplace(G703, ""_"", """")"),"postheadsonogramresult7")</f>
        <v>postheadsonogramresult7</v>
      </c>
      <c r="L703" s="43"/>
      <c r="M703" s="43"/>
    </row>
    <row r="704">
      <c r="A704" s="43"/>
      <c r="B704" s="40" t="s">
        <v>1100</v>
      </c>
      <c r="C704" s="40" t="s">
        <v>2787</v>
      </c>
      <c r="D704" s="40" t="s">
        <v>1111</v>
      </c>
      <c r="E704" s="43" t="s">
        <v>1133</v>
      </c>
      <c r="F704" s="44">
        <f t="shared" si="39"/>
        <v>0</v>
      </c>
      <c r="G704" s="40" t="s">
        <v>2788</v>
      </c>
      <c r="H704" s="43"/>
      <c r="I704" s="7" t="str">
        <f>IFERROR(__xludf.DUMMYFUNCTION("regexreplace(lower(C704), ""_"", """")"),"postheadsonogramresult8")</f>
        <v>postheadsonogramresult8</v>
      </c>
      <c r="J704" s="9" t="b">
        <f t="shared" si="2"/>
        <v>1</v>
      </c>
      <c r="K704" s="7" t="str">
        <f>IFERROR(__xludf.DUMMYFUNCTION("regexreplace(G704, ""_"", """")"),"postheadsonogramresult8")</f>
        <v>postheadsonogramresult8</v>
      </c>
      <c r="L704" s="43"/>
      <c r="M704" s="43"/>
    </row>
    <row r="705">
      <c r="A705" s="43"/>
      <c r="B705" s="40" t="s">
        <v>1100</v>
      </c>
      <c r="C705" s="40" t="s">
        <v>2789</v>
      </c>
      <c r="D705" s="40" t="s">
        <v>19</v>
      </c>
      <c r="E705" s="43" t="s">
        <v>1136</v>
      </c>
      <c r="F705" s="44">
        <f t="shared" si="39"/>
        <v>0</v>
      </c>
      <c r="G705" s="40" t="s">
        <v>2790</v>
      </c>
      <c r="H705" s="43"/>
      <c r="I705" s="7" t="str">
        <f>IFERROR(__xludf.DUMMYFUNCTION("regexreplace(lower(C705), ""_"", """")"),"postheadsonogramresulttext")</f>
        <v>postheadsonogramresulttext</v>
      </c>
      <c r="J705" s="9" t="b">
        <f t="shared" si="2"/>
        <v>1</v>
      </c>
      <c r="K705" s="7" t="str">
        <f>IFERROR(__xludf.DUMMYFUNCTION("regexreplace(G705, ""_"", """")"),"postheadsonogramresulttext")</f>
        <v>postheadsonogramresulttext</v>
      </c>
      <c r="L705" s="43"/>
      <c r="M705" s="43"/>
    </row>
    <row r="706">
      <c r="A706" s="43"/>
      <c r="B706" s="40" t="s">
        <v>1100</v>
      </c>
      <c r="C706" s="40" t="s">
        <v>2791</v>
      </c>
      <c r="D706" s="40" t="s">
        <v>43</v>
      </c>
      <c r="E706" s="43" t="s">
        <v>1139</v>
      </c>
      <c r="F706" s="44">
        <f t="shared" si="39"/>
        <v>0</v>
      </c>
      <c r="G706" s="40" t="s">
        <v>2792</v>
      </c>
      <c r="H706" s="43"/>
      <c r="I706" s="7" t="str">
        <f>IFERROR(__xludf.DUMMYFUNCTION("regexreplace(lower(C706), ""_"", """")"),"postheadct")</f>
        <v>postheadct</v>
      </c>
      <c r="J706" s="9" t="b">
        <f t="shared" si="2"/>
        <v>1</v>
      </c>
      <c r="K706" s="7" t="str">
        <f>IFERROR(__xludf.DUMMYFUNCTION("regexreplace(G706, ""_"", """")"),"postheadct")</f>
        <v>postheadct</v>
      </c>
      <c r="L706" s="43"/>
      <c r="M706" s="43"/>
    </row>
    <row r="707">
      <c r="A707" s="43"/>
      <c r="B707" s="40" t="s">
        <v>1100</v>
      </c>
      <c r="C707" s="40" t="s">
        <v>2793</v>
      </c>
      <c r="D707" s="40" t="s">
        <v>29</v>
      </c>
      <c r="E707" s="43" t="s">
        <v>1142</v>
      </c>
      <c r="F707" s="44">
        <f t="shared" si="39"/>
        <v>0</v>
      </c>
      <c r="G707" s="40" t="s">
        <v>2794</v>
      </c>
      <c r="H707" s="43"/>
      <c r="I707" s="7" t="str">
        <f>IFERROR(__xludf.DUMMYFUNCTION("regexreplace(lower(C707), ""_"", """")"),"postheadctdate")</f>
        <v>postheadctdate</v>
      </c>
      <c r="J707" s="9" t="b">
        <f t="shared" si="2"/>
        <v>1</v>
      </c>
      <c r="K707" s="7" t="str">
        <f>IFERROR(__xludf.DUMMYFUNCTION("regexreplace(G707, ""_"", """")"),"postheadctdate")</f>
        <v>postheadctdate</v>
      </c>
      <c r="L707" s="43"/>
      <c r="M707" s="43"/>
    </row>
    <row r="708">
      <c r="A708" s="43"/>
      <c r="B708" s="40" t="s">
        <v>1100</v>
      </c>
      <c r="C708" s="40" t="s">
        <v>2795</v>
      </c>
      <c r="D708" s="40" t="s">
        <v>148</v>
      </c>
      <c r="E708" s="43" t="s">
        <v>1145</v>
      </c>
      <c r="F708" s="44">
        <f t="shared" si="39"/>
        <v>0</v>
      </c>
      <c r="G708" s="40" t="s">
        <v>2796</v>
      </c>
      <c r="H708" s="43"/>
      <c r="I708" s="7" t="str">
        <f>IFERROR(__xludf.DUMMYFUNCTION("regexreplace(lower(C708), ""_"", """")"),"postheadcttime")</f>
        <v>postheadcttime</v>
      </c>
      <c r="J708" s="9" t="b">
        <f t="shared" si="2"/>
        <v>1</v>
      </c>
      <c r="K708" s="7" t="str">
        <f>IFERROR(__xludf.DUMMYFUNCTION("regexreplace(G708, ""_"", """")"),"postheadcttime")</f>
        <v>postheadcttime</v>
      </c>
      <c r="L708" s="43"/>
      <c r="M708" s="43"/>
    </row>
    <row r="709">
      <c r="A709" s="43"/>
      <c r="B709" s="40" t="s">
        <v>1100</v>
      </c>
      <c r="C709" s="40" t="s">
        <v>2797</v>
      </c>
      <c r="D709" s="40" t="s">
        <v>1111</v>
      </c>
      <c r="E709" s="43" t="s">
        <v>1148</v>
      </c>
      <c r="F709" s="44">
        <f t="shared" si="39"/>
        <v>0</v>
      </c>
      <c r="G709" s="40" t="s">
        <v>2798</v>
      </c>
      <c r="H709" s="43"/>
      <c r="I709" s="7" t="str">
        <f>IFERROR(__xludf.DUMMYFUNCTION("regexreplace(lower(C709), ""_"", """")"),"postheadctresult1")</f>
        <v>postheadctresult1</v>
      </c>
      <c r="J709" s="9" t="b">
        <f t="shared" si="2"/>
        <v>1</v>
      </c>
      <c r="K709" s="7" t="str">
        <f>IFERROR(__xludf.DUMMYFUNCTION("regexreplace(G709, ""_"", """")"),"postheadctresult1")</f>
        <v>postheadctresult1</v>
      </c>
      <c r="L709" s="43"/>
      <c r="M709" s="43"/>
    </row>
    <row r="710">
      <c r="A710" s="43"/>
      <c r="B710" s="40" t="s">
        <v>1100</v>
      </c>
      <c r="C710" s="40" t="s">
        <v>2799</v>
      </c>
      <c r="D710" s="40" t="s">
        <v>1111</v>
      </c>
      <c r="E710" s="43" t="s">
        <v>1151</v>
      </c>
      <c r="F710" s="44">
        <f t="shared" si="39"/>
        <v>0</v>
      </c>
      <c r="G710" s="40" t="s">
        <v>2800</v>
      </c>
      <c r="H710" s="43"/>
      <c r="I710" s="7" t="str">
        <f>IFERROR(__xludf.DUMMYFUNCTION("regexreplace(lower(C710), ""_"", """")"),"postheadctresult2")</f>
        <v>postheadctresult2</v>
      </c>
      <c r="J710" s="9" t="b">
        <f t="shared" si="2"/>
        <v>1</v>
      </c>
      <c r="K710" s="7" t="str">
        <f>IFERROR(__xludf.DUMMYFUNCTION("regexreplace(G710, ""_"", """")"),"postheadctresult2")</f>
        <v>postheadctresult2</v>
      </c>
      <c r="L710" s="43"/>
      <c r="M710" s="43"/>
    </row>
    <row r="711">
      <c r="A711" s="43"/>
      <c r="B711" s="40" t="s">
        <v>1100</v>
      </c>
      <c r="C711" s="40" t="s">
        <v>2801</v>
      </c>
      <c r="D711" s="40" t="s">
        <v>1111</v>
      </c>
      <c r="E711" s="43" t="s">
        <v>1154</v>
      </c>
      <c r="F711" s="44">
        <f t="shared" si="39"/>
        <v>0</v>
      </c>
      <c r="G711" s="40" t="s">
        <v>2802</v>
      </c>
      <c r="H711" s="43"/>
      <c r="I711" s="7" t="str">
        <f>IFERROR(__xludf.DUMMYFUNCTION("regexreplace(lower(C711), ""_"", """")"),"postheadctresult3")</f>
        <v>postheadctresult3</v>
      </c>
      <c r="J711" s="9" t="b">
        <f t="shared" si="2"/>
        <v>1</v>
      </c>
      <c r="K711" s="7" t="str">
        <f>IFERROR(__xludf.DUMMYFUNCTION("regexreplace(G711, ""_"", """")"),"postheadctresult3")</f>
        <v>postheadctresult3</v>
      </c>
      <c r="L711" s="43"/>
      <c r="M711" s="43"/>
    </row>
    <row r="712">
      <c r="A712" s="43"/>
      <c r="B712" s="40" t="s">
        <v>1100</v>
      </c>
      <c r="C712" s="40" t="s">
        <v>2803</v>
      </c>
      <c r="D712" s="40" t="s">
        <v>1111</v>
      </c>
      <c r="E712" s="43" t="s">
        <v>1157</v>
      </c>
      <c r="F712" s="44">
        <f t="shared" si="39"/>
        <v>0</v>
      </c>
      <c r="G712" s="40" t="s">
        <v>2804</v>
      </c>
      <c r="H712" s="43"/>
      <c r="I712" s="7" t="str">
        <f>IFERROR(__xludf.DUMMYFUNCTION("regexreplace(lower(C712), ""_"", """")"),"postheadctresult4")</f>
        <v>postheadctresult4</v>
      </c>
      <c r="J712" s="9" t="b">
        <f t="shared" si="2"/>
        <v>1</v>
      </c>
      <c r="K712" s="7" t="str">
        <f>IFERROR(__xludf.DUMMYFUNCTION("regexreplace(G712, ""_"", """")"),"postheadctresult4")</f>
        <v>postheadctresult4</v>
      </c>
      <c r="L712" s="43"/>
      <c r="M712" s="43"/>
    </row>
    <row r="713">
      <c r="A713" s="43"/>
      <c r="B713" s="40" t="s">
        <v>1100</v>
      </c>
      <c r="C713" s="40" t="s">
        <v>2805</v>
      </c>
      <c r="D713" s="40" t="s">
        <v>1111</v>
      </c>
      <c r="E713" s="43" t="s">
        <v>1160</v>
      </c>
      <c r="F713" s="44">
        <f t="shared" si="39"/>
        <v>0</v>
      </c>
      <c r="G713" s="40" t="s">
        <v>2806</v>
      </c>
      <c r="H713" s="43"/>
      <c r="I713" s="7" t="str">
        <f>IFERROR(__xludf.DUMMYFUNCTION("regexreplace(lower(C713), ""_"", """")"),"postheadctresult5")</f>
        <v>postheadctresult5</v>
      </c>
      <c r="J713" s="9" t="b">
        <f t="shared" si="2"/>
        <v>1</v>
      </c>
      <c r="K713" s="7" t="str">
        <f>IFERROR(__xludf.DUMMYFUNCTION("regexreplace(G713, ""_"", """")"),"postheadctresult5")</f>
        <v>postheadctresult5</v>
      </c>
      <c r="L713" s="43"/>
      <c r="M713" s="43"/>
    </row>
    <row r="714">
      <c r="A714" s="43"/>
      <c r="B714" s="40" t="s">
        <v>1100</v>
      </c>
      <c r="C714" s="40" t="s">
        <v>2807</v>
      </c>
      <c r="D714" s="40" t="s">
        <v>1111</v>
      </c>
      <c r="E714" s="43" t="s">
        <v>1163</v>
      </c>
      <c r="F714" s="44">
        <f t="shared" si="39"/>
        <v>0</v>
      </c>
      <c r="G714" s="40" t="s">
        <v>2808</v>
      </c>
      <c r="H714" s="43"/>
      <c r="I714" s="7" t="str">
        <f>IFERROR(__xludf.DUMMYFUNCTION("regexreplace(lower(C714), ""_"", """")"),"postheadctresult6")</f>
        <v>postheadctresult6</v>
      </c>
      <c r="J714" s="9" t="b">
        <f t="shared" si="2"/>
        <v>1</v>
      </c>
      <c r="K714" s="7" t="str">
        <f>IFERROR(__xludf.DUMMYFUNCTION("regexreplace(G714, ""_"", """")"),"postheadctresult6")</f>
        <v>postheadctresult6</v>
      </c>
      <c r="L714" s="43"/>
      <c r="M714" s="43"/>
    </row>
    <row r="715">
      <c r="A715" s="43"/>
      <c r="B715" s="40" t="s">
        <v>1100</v>
      </c>
      <c r="C715" s="40" t="s">
        <v>2809</v>
      </c>
      <c r="D715" s="40" t="s">
        <v>1111</v>
      </c>
      <c r="E715" s="43" t="s">
        <v>1166</v>
      </c>
      <c r="F715" s="44">
        <f t="shared" si="39"/>
        <v>0</v>
      </c>
      <c r="G715" s="40" t="s">
        <v>2810</v>
      </c>
      <c r="H715" s="43"/>
      <c r="I715" s="7" t="str">
        <f>IFERROR(__xludf.DUMMYFUNCTION("regexreplace(lower(C715), ""_"", """")"),"postheadctresult7")</f>
        <v>postheadctresult7</v>
      </c>
      <c r="J715" s="9" t="b">
        <f t="shared" si="2"/>
        <v>1</v>
      </c>
      <c r="K715" s="7" t="str">
        <f>IFERROR(__xludf.DUMMYFUNCTION("regexreplace(G715, ""_"", """")"),"postheadctresult7")</f>
        <v>postheadctresult7</v>
      </c>
      <c r="L715" s="43"/>
      <c r="M715" s="43"/>
    </row>
    <row r="716">
      <c r="A716" s="43"/>
      <c r="B716" s="40" t="s">
        <v>1100</v>
      </c>
      <c r="C716" s="40" t="s">
        <v>2811</v>
      </c>
      <c r="D716" s="40" t="s">
        <v>1111</v>
      </c>
      <c r="E716" s="43" t="s">
        <v>1169</v>
      </c>
      <c r="F716" s="44">
        <f t="shared" si="39"/>
        <v>0</v>
      </c>
      <c r="G716" s="40" t="s">
        <v>2812</v>
      </c>
      <c r="H716" s="43"/>
      <c r="I716" s="7" t="str">
        <f>IFERROR(__xludf.DUMMYFUNCTION("regexreplace(lower(C716), ""_"", """")"),"postheadctresult8")</f>
        <v>postheadctresult8</v>
      </c>
      <c r="J716" s="9" t="b">
        <f t="shared" si="2"/>
        <v>1</v>
      </c>
      <c r="K716" s="7" t="str">
        <f>IFERROR(__xludf.DUMMYFUNCTION("regexreplace(G716, ""_"", """")"),"postheadctresult8")</f>
        <v>postheadctresult8</v>
      </c>
      <c r="L716" s="43"/>
      <c r="M716" s="43"/>
    </row>
    <row r="717">
      <c r="A717" s="43"/>
      <c r="B717" s="40" t="s">
        <v>1100</v>
      </c>
      <c r="C717" s="40" t="s">
        <v>2813</v>
      </c>
      <c r="D717" s="40" t="s">
        <v>19</v>
      </c>
      <c r="E717" s="43" t="s">
        <v>1172</v>
      </c>
      <c r="F717" s="44">
        <f t="shared" si="39"/>
        <v>0</v>
      </c>
      <c r="G717" s="40" t="s">
        <v>2814</v>
      </c>
      <c r="H717" s="43"/>
      <c r="I717" s="7" t="str">
        <f>IFERROR(__xludf.DUMMYFUNCTION("regexreplace(lower(C717), ""_"", """")"),"postheadctresulttext")</f>
        <v>postheadctresulttext</v>
      </c>
      <c r="J717" s="9" t="b">
        <f t="shared" si="2"/>
        <v>1</v>
      </c>
      <c r="K717" s="7" t="str">
        <f>IFERROR(__xludf.DUMMYFUNCTION("regexreplace(G717, ""_"", """")"),"postheadctresulttext")</f>
        <v>postheadctresulttext</v>
      </c>
      <c r="L717" s="43"/>
      <c r="M717" s="43"/>
    </row>
    <row r="718">
      <c r="A718" s="43"/>
      <c r="B718" s="40" t="s">
        <v>1100</v>
      </c>
      <c r="C718" s="40" t="s">
        <v>2815</v>
      </c>
      <c r="D718" s="40" t="s">
        <v>43</v>
      </c>
      <c r="E718" s="43" t="s">
        <v>1175</v>
      </c>
      <c r="F718" s="44">
        <f t="shared" si="39"/>
        <v>0</v>
      </c>
      <c r="G718" s="40" t="s">
        <v>2816</v>
      </c>
      <c r="H718" s="43"/>
      <c r="I718" s="7" t="str">
        <f>IFERROR(__xludf.DUMMYFUNCTION("regexreplace(lower(C718), ""_"", """")"),"postbrainmri")</f>
        <v>postbrainmri</v>
      </c>
      <c r="J718" s="9" t="b">
        <f t="shared" si="2"/>
        <v>1</v>
      </c>
      <c r="K718" s="7" t="str">
        <f>IFERROR(__xludf.DUMMYFUNCTION("regexreplace(G718, ""_"", """")"),"postbrainmri")</f>
        <v>postbrainmri</v>
      </c>
      <c r="L718" s="43"/>
      <c r="M718" s="43"/>
    </row>
    <row r="719">
      <c r="A719" s="43"/>
      <c r="B719" s="40" t="s">
        <v>1100</v>
      </c>
      <c r="C719" s="40" t="s">
        <v>2817</v>
      </c>
      <c r="D719" s="40" t="s">
        <v>29</v>
      </c>
      <c r="E719" s="43" t="s">
        <v>1178</v>
      </c>
      <c r="F719" s="44">
        <f t="shared" si="39"/>
        <v>0</v>
      </c>
      <c r="G719" s="40" t="s">
        <v>2818</v>
      </c>
      <c r="H719" s="43"/>
      <c r="I719" s="7" t="str">
        <f>IFERROR(__xludf.DUMMYFUNCTION("regexreplace(lower(C719), ""_"", """")"),"postbrainmridate")</f>
        <v>postbrainmridate</v>
      </c>
      <c r="J719" s="9" t="b">
        <f t="shared" si="2"/>
        <v>1</v>
      </c>
      <c r="K719" s="7" t="str">
        <f>IFERROR(__xludf.DUMMYFUNCTION("regexreplace(G719, ""_"", """")"),"postbrainmridate")</f>
        <v>postbrainmridate</v>
      </c>
      <c r="L719" s="43"/>
      <c r="M719" s="43"/>
    </row>
    <row r="720">
      <c r="A720" s="43"/>
      <c r="B720" s="40" t="s">
        <v>1100</v>
      </c>
      <c r="C720" s="40" t="s">
        <v>2819</v>
      </c>
      <c r="D720" s="40" t="s">
        <v>148</v>
      </c>
      <c r="E720" s="43" t="s">
        <v>1181</v>
      </c>
      <c r="F720" s="44">
        <f t="shared" si="39"/>
        <v>0</v>
      </c>
      <c r="G720" s="40" t="s">
        <v>2820</v>
      </c>
      <c r="H720" s="43"/>
      <c r="I720" s="7" t="str">
        <f>IFERROR(__xludf.DUMMYFUNCTION("regexreplace(lower(C720), ""_"", """")"),"postbrainmritime")</f>
        <v>postbrainmritime</v>
      </c>
      <c r="J720" s="9" t="b">
        <f t="shared" si="2"/>
        <v>1</v>
      </c>
      <c r="K720" s="7" t="str">
        <f>IFERROR(__xludf.DUMMYFUNCTION("regexreplace(G720, ""_"", """")"),"postbrainmritime")</f>
        <v>postbrainmritime</v>
      </c>
      <c r="L720" s="43"/>
      <c r="M720" s="43"/>
    </row>
    <row r="721">
      <c r="A721" s="43"/>
      <c r="B721" s="40" t="s">
        <v>1100</v>
      </c>
      <c r="C721" s="40" t="s">
        <v>2821</v>
      </c>
      <c r="D721" s="40" t="s">
        <v>1111</v>
      </c>
      <c r="E721" s="43" t="s">
        <v>1184</v>
      </c>
      <c r="F721" s="44">
        <f t="shared" si="39"/>
        <v>0</v>
      </c>
      <c r="G721" s="40" t="s">
        <v>2822</v>
      </c>
      <c r="H721" s="43"/>
      <c r="I721" s="7" t="str">
        <f>IFERROR(__xludf.DUMMYFUNCTION("regexreplace(lower(C721), ""_"", """")"),"postbrainmriresult1")</f>
        <v>postbrainmriresult1</v>
      </c>
      <c r="J721" s="9" t="b">
        <f t="shared" si="2"/>
        <v>1</v>
      </c>
      <c r="K721" s="7" t="str">
        <f>IFERROR(__xludf.DUMMYFUNCTION("regexreplace(G721, ""_"", """")"),"postbrainmriresult1")</f>
        <v>postbrainmriresult1</v>
      </c>
      <c r="L721" s="43"/>
      <c r="M721" s="43"/>
    </row>
    <row r="722">
      <c r="A722" s="43"/>
      <c r="B722" s="40" t="s">
        <v>1100</v>
      </c>
      <c r="C722" s="40" t="s">
        <v>2823</v>
      </c>
      <c r="D722" s="40" t="s">
        <v>1111</v>
      </c>
      <c r="E722" s="43" t="s">
        <v>1187</v>
      </c>
      <c r="F722" s="44">
        <f t="shared" si="39"/>
        <v>0</v>
      </c>
      <c r="G722" s="40" t="s">
        <v>2824</v>
      </c>
      <c r="H722" s="43"/>
      <c r="I722" s="7" t="str">
        <f>IFERROR(__xludf.DUMMYFUNCTION("regexreplace(lower(C722), ""_"", """")"),"postbrainmriresult2")</f>
        <v>postbrainmriresult2</v>
      </c>
      <c r="J722" s="9" t="b">
        <f t="shared" si="2"/>
        <v>1</v>
      </c>
      <c r="K722" s="7" t="str">
        <f>IFERROR(__xludf.DUMMYFUNCTION("regexreplace(G722, ""_"", """")"),"postbrainmriresult2")</f>
        <v>postbrainmriresult2</v>
      </c>
      <c r="L722" s="43"/>
      <c r="M722" s="43"/>
    </row>
    <row r="723">
      <c r="A723" s="43"/>
      <c r="B723" s="40" t="s">
        <v>1100</v>
      </c>
      <c r="C723" s="40" t="s">
        <v>2825</v>
      </c>
      <c r="D723" s="40" t="s">
        <v>1111</v>
      </c>
      <c r="E723" s="43" t="s">
        <v>1190</v>
      </c>
      <c r="F723" s="44">
        <f t="shared" si="39"/>
        <v>0</v>
      </c>
      <c r="G723" s="40" t="s">
        <v>2826</v>
      </c>
      <c r="H723" s="43"/>
      <c r="I723" s="7" t="str">
        <f>IFERROR(__xludf.DUMMYFUNCTION("regexreplace(lower(C723), ""_"", """")"),"postbrainmriresult3")</f>
        <v>postbrainmriresult3</v>
      </c>
      <c r="J723" s="9" t="b">
        <f t="shared" si="2"/>
        <v>1</v>
      </c>
      <c r="K723" s="7" t="str">
        <f>IFERROR(__xludf.DUMMYFUNCTION("regexreplace(G723, ""_"", """")"),"postbrainmriresult3")</f>
        <v>postbrainmriresult3</v>
      </c>
      <c r="L723" s="43"/>
      <c r="M723" s="43"/>
    </row>
    <row r="724">
      <c r="A724" s="43"/>
      <c r="B724" s="40" t="s">
        <v>1100</v>
      </c>
      <c r="C724" s="40" t="s">
        <v>2827</v>
      </c>
      <c r="D724" s="40" t="s">
        <v>1111</v>
      </c>
      <c r="E724" s="43" t="s">
        <v>1193</v>
      </c>
      <c r="F724" s="44">
        <f t="shared" si="39"/>
        <v>0</v>
      </c>
      <c r="G724" s="40" t="s">
        <v>2828</v>
      </c>
      <c r="H724" s="43"/>
      <c r="I724" s="7" t="str">
        <f>IFERROR(__xludf.DUMMYFUNCTION("regexreplace(lower(C724), ""_"", """")"),"postbrainmriresult4")</f>
        <v>postbrainmriresult4</v>
      </c>
      <c r="J724" s="9" t="b">
        <f t="shared" si="2"/>
        <v>1</v>
      </c>
      <c r="K724" s="7" t="str">
        <f>IFERROR(__xludf.DUMMYFUNCTION("regexreplace(G724, ""_"", """")"),"postbrainmriresult4")</f>
        <v>postbrainmriresult4</v>
      </c>
      <c r="L724" s="43"/>
      <c r="M724" s="43"/>
    </row>
    <row r="725">
      <c r="A725" s="43"/>
      <c r="B725" s="40" t="s">
        <v>1100</v>
      </c>
      <c r="C725" s="40" t="s">
        <v>2829</v>
      </c>
      <c r="D725" s="40" t="s">
        <v>1111</v>
      </c>
      <c r="E725" s="43" t="s">
        <v>1196</v>
      </c>
      <c r="F725" s="44">
        <f t="shared" si="39"/>
        <v>0</v>
      </c>
      <c r="G725" s="40" t="s">
        <v>2830</v>
      </c>
      <c r="H725" s="43"/>
      <c r="I725" s="7" t="str">
        <f>IFERROR(__xludf.DUMMYFUNCTION("regexreplace(lower(C725), ""_"", """")"),"postbrainmriresult5")</f>
        <v>postbrainmriresult5</v>
      </c>
      <c r="J725" s="9" t="b">
        <f t="shared" si="2"/>
        <v>1</v>
      </c>
      <c r="K725" s="7" t="str">
        <f>IFERROR(__xludf.DUMMYFUNCTION("regexreplace(G725, ""_"", """")"),"postbrainmriresult5")</f>
        <v>postbrainmriresult5</v>
      </c>
      <c r="L725" s="43"/>
      <c r="M725" s="43"/>
    </row>
    <row r="726">
      <c r="A726" s="43"/>
      <c r="B726" s="40" t="s">
        <v>1100</v>
      </c>
      <c r="C726" s="40" t="s">
        <v>2831</v>
      </c>
      <c r="D726" s="40" t="s">
        <v>1111</v>
      </c>
      <c r="E726" s="43" t="s">
        <v>1199</v>
      </c>
      <c r="F726" s="44">
        <f t="shared" si="39"/>
        <v>0</v>
      </c>
      <c r="G726" s="40" t="s">
        <v>2832</v>
      </c>
      <c r="H726" s="43"/>
      <c r="I726" s="7" t="str">
        <f>IFERROR(__xludf.DUMMYFUNCTION("regexreplace(lower(C726), ""_"", """")"),"postbrainmriresult6")</f>
        <v>postbrainmriresult6</v>
      </c>
      <c r="J726" s="9" t="b">
        <f t="shared" si="2"/>
        <v>1</v>
      </c>
      <c r="K726" s="7" t="str">
        <f>IFERROR(__xludf.DUMMYFUNCTION("regexreplace(G726, ""_"", """")"),"postbrainmriresult6")</f>
        <v>postbrainmriresult6</v>
      </c>
      <c r="L726" s="43"/>
      <c r="M726" s="43"/>
    </row>
    <row r="727">
      <c r="A727" s="43"/>
      <c r="B727" s="40" t="s">
        <v>1100</v>
      </c>
      <c r="C727" s="40" t="s">
        <v>2833</v>
      </c>
      <c r="D727" s="40" t="s">
        <v>1111</v>
      </c>
      <c r="E727" s="43" t="s">
        <v>1202</v>
      </c>
      <c r="F727" s="44">
        <f t="shared" si="39"/>
        <v>0</v>
      </c>
      <c r="G727" s="40" t="s">
        <v>2834</v>
      </c>
      <c r="H727" s="43"/>
      <c r="I727" s="7" t="str">
        <f>IFERROR(__xludf.DUMMYFUNCTION("regexreplace(lower(C727), ""_"", """")"),"postbrainmriresult7")</f>
        <v>postbrainmriresult7</v>
      </c>
      <c r="J727" s="9" t="b">
        <f t="shared" si="2"/>
        <v>1</v>
      </c>
      <c r="K727" s="7" t="str">
        <f>IFERROR(__xludf.DUMMYFUNCTION("regexreplace(G727, ""_"", """")"),"postbrainmriresult7")</f>
        <v>postbrainmriresult7</v>
      </c>
      <c r="L727" s="43"/>
      <c r="M727" s="43"/>
    </row>
    <row r="728">
      <c r="A728" s="43"/>
      <c r="B728" s="40" t="s">
        <v>1100</v>
      </c>
      <c r="C728" s="40" t="s">
        <v>2835</v>
      </c>
      <c r="D728" s="40" t="s">
        <v>1111</v>
      </c>
      <c r="E728" s="43" t="s">
        <v>1205</v>
      </c>
      <c r="F728" s="44">
        <f t="shared" si="39"/>
        <v>0</v>
      </c>
      <c r="G728" s="40" t="s">
        <v>2836</v>
      </c>
      <c r="H728" s="43"/>
      <c r="I728" s="7" t="str">
        <f>IFERROR(__xludf.DUMMYFUNCTION("regexreplace(lower(C728), ""_"", """")"),"postbrainmriresult8")</f>
        <v>postbrainmriresult8</v>
      </c>
      <c r="J728" s="9" t="b">
        <f t="shared" si="2"/>
        <v>1</v>
      </c>
      <c r="K728" s="7" t="str">
        <f>IFERROR(__xludf.DUMMYFUNCTION("regexreplace(G728, ""_"", """")"),"postbrainmriresult8")</f>
        <v>postbrainmriresult8</v>
      </c>
      <c r="L728" s="43"/>
      <c r="M728" s="43"/>
    </row>
    <row r="729">
      <c r="A729" s="43"/>
      <c r="B729" s="40" t="s">
        <v>1100</v>
      </c>
      <c r="C729" s="40" t="s">
        <v>2837</v>
      </c>
      <c r="D729" s="40" t="s">
        <v>19</v>
      </c>
      <c r="E729" s="43" t="s">
        <v>1208</v>
      </c>
      <c r="F729" s="44">
        <f t="shared" si="39"/>
        <v>0</v>
      </c>
      <c r="G729" s="40" t="s">
        <v>2838</v>
      </c>
      <c r="H729" s="43"/>
      <c r="I729" s="7" t="str">
        <f>IFERROR(__xludf.DUMMYFUNCTION("regexreplace(lower(C729), ""_"", """")"),"postbrainmriresulttext")</f>
        <v>postbrainmriresulttext</v>
      </c>
      <c r="J729" s="9" t="b">
        <f t="shared" si="2"/>
        <v>1</v>
      </c>
      <c r="K729" s="7" t="str">
        <f>IFERROR(__xludf.DUMMYFUNCTION("regexreplace(G729, ""_"", """")"),"postbrainmriresulttext")</f>
        <v>postbrainmriresulttext</v>
      </c>
      <c r="L729" s="43"/>
      <c r="M729" s="43"/>
    </row>
    <row r="730">
      <c r="A730" s="12"/>
      <c r="B730" s="12"/>
      <c r="C730" s="13"/>
      <c r="D730" s="12"/>
      <c r="E730" s="12"/>
      <c r="F730" s="12"/>
      <c r="G730" s="12"/>
      <c r="H730" s="12"/>
      <c r="I730" s="7" t="str">
        <f>IFERROR(__xludf.DUMMYFUNCTION("regexreplace(lower(C730), ""_"", """")"),"")</f>
        <v/>
      </c>
      <c r="J730" s="9" t="str">
        <f t="shared" si="2"/>
        <v/>
      </c>
      <c r="K730" s="7" t="str">
        <f>IFERROR(__xludf.DUMMYFUNCTION("regexreplace(G730, ""_"", """")"),"")</f>
        <v/>
      </c>
      <c r="L730" s="12"/>
      <c r="M730" s="12"/>
    </row>
    <row r="731">
      <c r="A731" s="40" t="s">
        <v>2680</v>
      </c>
      <c r="B731" s="46" t="s">
        <v>1210</v>
      </c>
      <c r="C731" s="42" t="s">
        <v>2839</v>
      </c>
      <c r="D731" s="42" t="s">
        <v>19</v>
      </c>
      <c r="E731" s="47" t="s">
        <v>2840</v>
      </c>
      <c r="F731" s="44">
        <f t="shared" ref="F731:F763" si="40">counta(L731:M731)</f>
        <v>1</v>
      </c>
      <c r="G731" s="40" t="s">
        <v>2841</v>
      </c>
      <c r="H731" s="43"/>
      <c r="I731" s="7" t="str">
        <f>IFERROR(__xludf.DUMMYFUNCTION("regexreplace(lower(C731), ""_"", """")"),"postneuroexamsectionid")</f>
        <v>postneuroexamsectionid</v>
      </c>
      <c r="J731" s="9" t="b">
        <f t="shared" si="2"/>
        <v>1</v>
      </c>
      <c r="K731" s="7" t="str">
        <f>IFERROR(__xludf.DUMMYFUNCTION("regexreplace(G731, ""_"", """")"),"postneuroexamsectionid")</f>
        <v>postneuroexamsectionid</v>
      </c>
      <c r="L731" s="43"/>
      <c r="M731" s="43" t="s">
        <v>2842</v>
      </c>
    </row>
    <row r="732">
      <c r="A732" s="43"/>
      <c r="B732" s="46" t="s">
        <v>1210</v>
      </c>
      <c r="C732" s="40" t="s">
        <v>2843</v>
      </c>
      <c r="D732" s="40" t="s">
        <v>43</v>
      </c>
      <c r="E732" s="43" t="s">
        <v>2844</v>
      </c>
      <c r="F732" s="44">
        <f t="shared" si="40"/>
        <v>1</v>
      </c>
      <c r="G732" s="40" t="s">
        <v>2845</v>
      </c>
      <c r="H732" s="43"/>
      <c r="I732" s="7" t="str">
        <f>IFERROR(__xludf.DUMMYFUNCTION("regexreplace(lower(C732), ""_"", """")"),"postneuroexam")</f>
        <v>postneuroexam</v>
      </c>
      <c r="J732" s="9" t="b">
        <f t="shared" si="2"/>
        <v>1</v>
      </c>
      <c r="K732" s="7" t="str">
        <f>IFERROR(__xludf.DUMMYFUNCTION("regexreplace(G732, ""_"", """")"),"postneuroexam")</f>
        <v>postneuroexam</v>
      </c>
      <c r="L732" s="43"/>
      <c r="M732" s="43" t="s">
        <v>2846</v>
      </c>
    </row>
    <row r="733">
      <c r="A733" s="43"/>
      <c r="B733" s="46" t="s">
        <v>1210</v>
      </c>
      <c r="C733" s="42" t="s">
        <v>2847</v>
      </c>
      <c r="D733" s="42" t="s">
        <v>29</v>
      </c>
      <c r="E733" s="45" t="s">
        <v>2848</v>
      </c>
      <c r="F733" s="44">
        <f t="shared" si="40"/>
        <v>2</v>
      </c>
      <c r="G733" s="40" t="s">
        <v>2849</v>
      </c>
      <c r="H733" s="43"/>
      <c r="I733" s="7" t="str">
        <f>IFERROR(__xludf.DUMMYFUNCTION("regexreplace(lower(C733), ""_"", """")"),"postneuroexamdate")</f>
        <v>postneuroexamdate</v>
      </c>
      <c r="J733" s="9" t="b">
        <f t="shared" si="2"/>
        <v>1</v>
      </c>
      <c r="K733" s="7" t="str">
        <f>IFERROR(__xludf.DUMMYFUNCTION("regexreplace(G733, ""_"", """")"),"postneuroexamdate")</f>
        <v>postneuroexamdate</v>
      </c>
      <c r="L733" s="48" t="s">
        <v>2850</v>
      </c>
      <c r="M733" s="43" t="s">
        <v>2851</v>
      </c>
    </row>
    <row r="734">
      <c r="A734" s="43"/>
      <c r="B734" s="46" t="s">
        <v>1210</v>
      </c>
      <c r="C734" s="42" t="s">
        <v>2852</v>
      </c>
      <c r="D734" s="42" t="s">
        <v>148</v>
      </c>
      <c r="E734" s="45" t="s">
        <v>2853</v>
      </c>
      <c r="F734" s="44">
        <f t="shared" si="40"/>
        <v>2</v>
      </c>
      <c r="G734" s="40" t="s">
        <v>2854</v>
      </c>
      <c r="H734" s="43"/>
      <c r="I734" s="7" t="str">
        <f>IFERROR(__xludf.DUMMYFUNCTION("regexreplace(lower(C734), ""_"", """")"),"postneuroexamtime")</f>
        <v>postneuroexamtime</v>
      </c>
      <c r="J734" s="9" t="b">
        <f t="shared" si="2"/>
        <v>1</v>
      </c>
      <c r="K734" s="7" t="str">
        <f>IFERROR(__xludf.DUMMYFUNCTION("regexreplace(G734, ""_"", """")"),"postneuroexamtime")</f>
        <v>postneuroexamtime</v>
      </c>
      <c r="L734" s="48" t="s">
        <v>2855</v>
      </c>
      <c r="M734" s="43" t="s">
        <v>2856</v>
      </c>
    </row>
    <row r="735">
      <c r="A735" s="43"/>
      <c r="B735" s="46" t="s">
        <v>1210</v>
      </c>
      <c r="C735" s="40" t="s">
        <v>2857</v>
      </c>
      <c r="D735" s="40" t="s">
        <v>1228</v>
      </c>
      <c r="E735" s="43" t="s">
        <v>2858</v>
      </c>
      <c r="F735" s="44">
        <f t="shared" si="40"/>
        <v>2</v>
      </c>
      <c r="G735" s="40" t="s">
        <v>2859</v>
      </c>
      <c r="H735" s="43"/>
      <c r="I735" s="7" t="str">
        <f>IFERROR(__xludf.DUMMYFUNCTION("regexreplace(lower(C735), ""_"", """")"),"postneuroexamlevelconsciousness")</f>
        <v>postneuroexamlevelconsciousness</v>
      </c>
      <c r="J735" s="9" t="b">
        <f t="shared" si="2"/>
        <v>1</v>
      </c>
      <c r="K735" s="7" t="str">
        <f>IFERROR(__xludf.DUMMYFUNCTION("regexreplace(G735, ""_"", """")"),"postneuroexamlevelconsciousness")</f>
        <v>postneuroexamlevelconsciousness</v>
      </c>
      <c r="L735" s="48" t="s">
        <v>2860</v>
      </c>
      <c r="M735" s="43" t="s">
        <v>2861</v>
      </c>
    </row>
    <row r="736">
      <c r="A736" s="43"/>
      <c r="B736" s="46" t="s">
        <v>1210</v>
      </c>
      <c r="C736" s="40" t="s">
        <v>2862</v>
      </c>
      <c r="D736" s="40" t="s">
        <v>1234</v>
      </c>
      <c r="E736" s="43" t="s">
        <v>2863</v>
      </c>
      <c r="F736" s="44">
        <f t="shared" si="40"/>
        <v>2</v>
      </c>
      <c r="G736" s="40" t="s">
        <v>2864</v>
      </c>
      <c r="H736" s="43"/>
      <c r="I736" s="7" t="str">
        <f>IFERROR(__xludf.DUMMYFUNCTION("regexreplace(lower(C736), ""_"", """")"),"postneuroexamspontaneousactivity")</f>
        <v>postneuroexamspontaneousactivity</v>
      </c>
      <c r="J736" s="9" t="b">
        <f t="shared" si="2"/>
        <v>1</v>
      </c>
      <c r="K736" s="7" t="str">
        <f>IFERROR(__xludf.DUMMYFUNCTION("regexreplace(G736, ""_"", """")"),"postneuroexamspontaneousactivity")</f>
        <v>postneuroexamspontaneousactivity</v>
      </c>
      <c r="L736" s="48" t="s">
        <v>2865</v>
      </c>
      <c r="M736" s="43" t="s">
        <v>2866</v>
      </c>
    </row>
    <row r="737">
      <c r="A737" s="43"/>
      <c r="B737" s="46" t="s">
        <v>1210</v>
      </c>
      <c r="C737" s="40" t="s">
        <v>2867</v>
      </c>
      <c r="D737" s="40" t="s">
        <v>1240</v>
      </c>
      <c r="E737" s="43" t="s">
        <v>2868</v>
      </c>
      <c r="F737" s="44">
        <f t="shared" si="40"/>
        <v>2</v>
      </c>
      <c r="G737" s="40" t="s">
        <v>2869</v>
      </c>
      <c r="H737" s="43"/>
      <c r="I737" s="7" t="str">
        <f>IFERROR(__xludf.DUMMYFUNCTION("regexreplace(lower(C737), ""_"", """")"),"postneuroexamposture")</f>
        <v>postneuroexamposture</v>
      </c>
      <c r="J737" s="9" t="b">
        <f t="shared" si="2"/>
        <v>1</v>
      </c>
      <c r="K737" s="7" t="str">
        <f>IFERROR(__xludf.DUMMYFUNCTION("regexreplace(G737, ""_"", """")"),"postneuroexamposture")</f>
        <v>postneuroexamposture</v>
      </c>
      <c r="L737" s="48" t="s">
        <v>2870</v>
      </c>
      <c r="M737" s="43" t="s">
        <v>2871</v>
      </c>
    </row>
    <row r="738">
      <c r="A738" s="43"/>
      <c r="B738" s="46" t="s">
        <v>1210</v>
      </c>
      <c r="C738" s="42" t="s">
        <v>2872</v>
      </c>
      <c r="D738" s="42" t="s">
        <v>1246</v>
      </c>
      <c r="E738" s="45" t="s">
        <v>2873</v>
      </c>
      <c r="F738" s="44">
        <f t="shared" si="40"/>
        <v>2</v>
      </c>
      <c r="G738" s="40" t="s">
        <v>2874</v>
      </c>
      <c r="H738" s="43"/>
      <c r="I738" s="7" t="str">
        <f>IFERROR(__xludf.DUMMYFUNCTION("regexreplace(lower(C738), ""_"", """")"),"postneuroexamtone")</f>
        <v>postneuroexamtone</v>
      </c>
      <c r="J738" s="9" t="b">
        <f t="shared" si="2"/>
        <v>1</v>
      </c>
      <c r="K738" s="7" t="str">
        <f>IFERROR(__xludf.DUMMYFUNCTION("regexreplace(G738, ""_"", """")"),"postneuroexamtone")</f>
        <v>postneuroexamtone</v>
      </c>
      <c r="L738" s="48" t="s">
        <v>2875</v>
      </c>
      <c r="M738" s="43" t="s">
        <v>2876</v>
      </c>
    </row>
    <row r="739">
      <c r="A739" s="43"/>
      <c r="B739" s="46" t="s">
        <v>1210</v>
      </c>
      <c r="C739" s="40" t="s">
        <v>2877</v>
      </c>
      <c r="D739" s="40" t="s">
        <v>1252</v>
      </c>
      <c r="E739" s="43" t="s">
        <v>2878</v>
      </c>
      <c r="F739" s="44">
        <f t="shared" si="40"/>
        <v>2</v>
      </c>
      <c r="G739" s="40" t="s">
        <v>2879</v>
      </c>
      <c r="H739" s="43"/>
      <c r="I739" s="7" t="str">
        <f>IFERROR(__xludf.DUMMYFUNCTION("regexreplace(lower(C739), ""_"", """")"),"postneuroexamsuck")</f>
        <v>postneuroexamsuck</v>
      </c>
      <c r="J739" s="9" t="b">
        <f t="shared" si="2"/>
        <v>1</v>
      </c>
      <c r="K739" s="7" t="str">
        <f>IFERROR(__xludf.DUMMYFUNCTION("regexreplace(G739, ""_"", """")"),"postneuroexamsuck")</f>
        <v>postneuroexamsuck</v>
      </c>
      <c r="L739" s="48" t="s">
        <v>2880</v>
      </c>
      <c r="M739" s="43" t="s">
        <v>2881</v>
      </c>
    </row>
    <row r="740">
      <c r="A740" s="43"/>
      <c r="B740" s="46" t="s">
        <v>1210</v>
      </c>
      <c r="C740" s="40" t="s">
        <v>2882</v>
      </c>
      <c r="D740" s="40" t="s">
        <v>1258</v>
      </c>
      <c r="E740" s="43" t="s">
        <v>2883</v>
      </c>
      <c r="F740" s="44">
        <f t="shared" si="40"/>
        <v>2</v>
      </c>
      <c r="G740" s="40" t="s">
        <v>2884</v>
      </c>
      <c r="H740" s="43"/>
      <c r="I740" s="7" t="str">
        <f>IFERROR(__xludf.DUMMYFUNCTION("regexreplace(lower(C740), ""_"", """")"),"postneuroexammoro")</f>
        <v>postneuroexammoro</v>
      </c>
      <c r="J740" s="9" t="b">
        <f t="shared" si="2"/>
        <v>1</v>
      </c>
      <c r="K740" s="7" t="str">
        <f>IFERROR(__xludf.DUMMYFUNCTION("regexreplace(G740, ""_"", """")"),"postneuroexammoro")</f>
        <v>postneuroexammoro</v>
      </c>
      <c r="L740" s="48" t="s">
        <v>2885</v>
      </c>
      <c r="M740" s="43" t="s">
        <v>2886</v>
      </c>
    </row>
    <row r="741">
      <c r="A741" s="43"/>
      <c r="B741" s="46" t="s">
        <v>1210</v>
      </c>
      <c r="C741" s="40" t="s">
        <v>2887</v>
      </c>
      <c r="D741" s="40" t="s">
        <v>1264</v>
      </c>
      <c r="E741" s="43" t="s">
        <v>2888</v>
      </c>
      <c r="F741" s="44">
        <f t="shared" si="40"/>
        <v>2</v>
      </c>
      <c r="G741" s="40" t="s">
        <v>2889</v>
      </c>
      <c r="H741" s="43"/>
      <c r="I741" s="7" t="str">
        <f>IFERROR(__xludf.DUMMYFUNCTION("regexreplace(lower(C741), ""_"", """")"),"postneuroexampupils")</f>
        <v>postneuroexampupils</v>
      </c>
      <c r="J741" s="9" t="b">
        <f t="shared" si="2"/>
        <v>1</v>
      </c>
      <c r="K741" s="7" t="str">
        <f>IFERROR(__xludf.DUMMYFUNCTION("regexreplace(G741, ""_"", """")"),"postneuroexampupils")</f>
        <v>postneuroexampupils</v>
      </c>
      <c r="L741" s="48" t="s">
        <v>2890</v>
      </c>
      <c r="M741" s="43" t="s">
        <v>2891</v>
      </c>
    </row>
    <row r="742">
      <c r="A742" s="43"/>
      <c r="B742" s="46" t="s">
        <v>1210</v>
      </c>
      <c r="C742" s="40" t="s">
        <v>2892</v>
      </c>
      <c r="D742" s="40" t="s">
        <v>1270</v>
      </c>
      <c r="E742" s="43" t="s">
        <v>2893</v>
      </c>
      <c r="F742" s="44">
        <f t="shared" si="40"/>
        <v>2</v>
      </c>
      <c r="G742" s="40" t="s">
        <v>2894</v>
      </c>
      <c r="H742" s="43"/>
      <c r="I742" s="7" t="str">
        <f>IFERROR(__xludf.DUMMYFUNCTION("regexreplace(lower(C742), ""_"", """")"),"postneuroexamheartrate")</f>
        <v>postneuroexamheartrate</v>
      </c>
      <c r="J742" s="9" t="b">
        <f t="shared" si="2"/>
        <v>1</v>
      </c>
      <c r="K742" s="7" t="str">
        <f>IFERROR(__xludf.DUMMYFUNCTION("regexreplace(G742, ""_"", """")"),"postneuroexamheartrate")</f>
        <v>postneuroexamheartrate</v>
      </c>
      <c r="L742" s="48" t="s">
        <v>2895</v>
      </c>
      <c r="M742" s="43" t="s">
        <v>2896</v>
      </c>
    </row>
    <row r="743">
      <c r="A743" s="43"/>
      <c r="B743" s="46" t="s">
        <v>1210</v>
      </c>
      <c r="C743" s="42" t="s">
        <v>2897</v>
      </c>
      <c r="D743" s="42" t="s">
        <v>1276</v>
      </c>
      <c r="E743" s="45" t="s">
        <v>2898</v>
      </c>
      <c r="F743" s="44">
        <f t="shared" si="40"/>
        <v>2</v>
      </c>
      <c r="G743" s="40" t="s">
        <v>2899</v>
      </c>
      <c r="H743" s="43"/>
      <c r="I743" s="7" t="str">
        <f>IFERROR(__xludf.DUMMYFUNCTION("regexreplace(lower(C743), ""_"", """")"),"postneuroexamrespiration")</f>
        <v>postneuroexamrespiration</v>
      </c>
      <c r="J743" s="9" t="b">
        <f t="shared" si="2"/>
        <v>1</v>
      </c>
      <c r="K743" s="7" t="str">
        <f>IFERROR(__xludf.DUMMYFUNCTION("regexreplace(G743, ""_"", """")"),"postneuroexamrespiration")</f>
        <v>postneuroexamrespiration</v>
      </c>
      <c r="L743" s="48" t="s">
        <v>2900</v>
      </c>
      <c r="M743" s="43" t="s">
        <v>2901</v>
      </c>
    </row>
    <row r="744">
      <c r="A744" s="43"/>
      <c r="B744" s="46" t="s">
        <v>1210</v>
      </c>
      <c r="C744" s="40" t="s">
        <v>2902</v>
      </c>
      <c r="D744" s="40" t="s">
        <v>43</v>
      </c>
      <c r="E744" s="43" t="s">
        <v>2903</v>
      </c>
      <c r="F744" s="44">
        <f t="shared" si="40"/>
        <v>2</v>
      </c>
      <c r="G744" s="40" t="s">
        <v>2904</v>
      </c>
      <c r="H744" s="43"/>
      <c r="I744" s="7" t="str">
        <f>IFERROR(__xludf.DUMMYFUNCTION("regexreplace(lower(C744), ""_"", """")"),"postneuroexamseizure")</f>
        <v>postneuroexamseizure</v>
      </c>
      <c r="J744" s="9" t="b">
        <f t="shared" si="2"/>
        <v>1</v>
      </c>
      <c r="K744" s="7" t="str">
        <f>IFERROR(__xludf.DUMMYFUNCTION("regexreplace(G744, ""_"", """")"),"postneuroexamseizure")</f>
        <v>postneuroexamseizure</v>
      </c>
      <c r="L744" s="49" t="s">
        <v>2905</v>
      </c>
      <c r="M744" s="43" t="s">
        <v>2906</v>
      </c>
    </row>
    <row r="745">
      <c r="A745" s="43"/>
      <c r="B745" s="46" t="s">
        <v>1210</v>
      </c>
      <c r="C745" s="40" t="s">
        <v>2907</v>
      </c>
      <c r="D745" s="40" t="s">
        <v>43</v>
      </c>
      <c r="E745" s="43" t="s">
        <v>2908</v>
      </c>
      <c r="F745" s="44">
        <f t="shared" si="40"/>
        <v>2</v>
      </c>
      <c r="G745" s="40" t="s">
        <v>2909</v>
      </c>
      <c r="H745" s="43"/>
      <c r="I745" s="7" t="str">
        <f>IFERROR(__xludf.DUMMYFUNCTION("regexreplace(lower(C745), ""_"", """")"),"postneuroexamsedate")</f>
        <v>postneuroexamsedate</v>
      </c>
      <c r="J745" s="9" t="b">
        <f t="shared" si="2"/>
        <v>1</v>
      </c>
      <c r="K745" s="7" t="str">
        <f>IFERROR(__xludf.DUMMYFUNCTION("regexreplace(G745, ""_"", """")"),"postneuroexamsedate")</f>
        <v>postneuroexamsedate</v>
      </c>
      <c r="L745" s="48" t="s">
        <v>2910</v>
      </c>
      <c r="M745" s="43" t="s">
        <v>2911</v>
      </c>
    </row>
    <row r="746">
      <c r="A746" s="43"/>
      <c r="B746" s="46" t="s">
        <v>1210</v>
      </c>
      <c r="C746" s="40" t="s">
        <v>2912</v>
      </c>
      <c r="D746" s="40" t="s">
        <v>43</v>
      </c>
      <c r="E746" s="43" t="s">
        <v>2913</v>
      </c>
      <c r="F746" s="44">
        <f t="shared" si="40"/>
        <v>2</v>
      </c>
      <c r="G746" s="40" t="s">
        <v>2914</v>
      </c>
      <c r="H746" s="43"/>
      <c r="I746" s="7" t="str">
        <f>IFERROR(__xludf.DUMMYFUNCTION("regexreplace(lower(C746), ""_"", """")"),"postneuroexamclonussustained")</f>
        <v>postneuroexamclonussustained</v>
      </c>
      <c r="J746" s="9" t="b">
        <f t="shared" si="2"/>
        <v>1</v>
      </c>
      <c r="K746" s="7" t="str">
        <f>IFERROR(__xludf.DUMMYFUNCTION("regexreplace(G746, ""_"", """")"),"postneuroexamclonussustained")</f>
        <v>postneuroexamclonussustained</v>
      </c>
      <c r="L746" s="48" t="s">
        <v>2915</v>
      </c>
      <c r="M746" s="43" t="s">
        <v>2916</v>
      </c>
    </row>
    <row r="747">
      <c r="A747" s="43"/>
      <c r="B747" s="46" t="s">
        <v>1210</v>
      </c>
      <c r="C747" s="40" t="s">
        <v>2917</v>
      </c>
      <c r="D747" s="40" t="s">
        <v>43</v>
      </c>
      <c r="E747" s="43" t="s">
        <v>2918</v>
      </c>
      <c r="F747" s="44">
        <f t="shared" si="40"/>
        <v>2</v>
      </c>
      <c r="G747" s="40" t="s">
        <v>2919</v>
      </c>
      <c r="H747" s="43"/>
      <c r="I747" s="7" t="str">
        <f>IFERROR(__xludf.DUMMYFUNCTION("regexreplace(lower(C747), ""_"", """")"),"postneuroexamfistedhand")</f>
        <v>postneuroexamfistedhand</v>
      </c>
      <c r="J747" s="9" t="b">
        <f t="shared" si="2"/>
        <v>1</v>
      </c>
      <c r="K747" s="7" t="str">
        <f>IFERROR(__xludf.DUMMYFUNCTION("regexreplace(G747, ""_"", """")"),"postneuroexamfistedhand")</f>
        <v>postneuroexamfistedhand</v>
      </c>
      <c r="L747" s="48" t="s">
        <v>2920</v>
      </c>
      <c r="M747" s="43" t="s">
        <v>2921</v>
      </c>
    </row>
    <row r="748">
      <c r="A748" s="43"/>
      <c r="B748" s="46" t="s">
        <v>1210</v>
      </c>
      <c r="C748" s="40" t="s">
        <v>2922</v>
      </c>
      <c r="D748" s="40" t="s">
        <v>43</v>
      </c>
      <c r="E748" s="43" t="s">
        <v>2923</v>
      </c>
      <c r="F748" s="44">
        <f t="shared" si="40"/>
        <v>2</v>
      </c>
      <c r="G748" s="40" t="s">
        <v>2924</v>
      </c>
      <c r="H748" s="43"/>
      <c r="I748" s="7" t="str">
        <f>IFERROR(__xludf.DUMMYFUNCTION("regexreplace(lower(C748), ""_"", """")"),"postneuroexamabnormalmovement")</f>
        <v>postneuroexamabnormalmovement</v>
      </c>
      <c r="J748" s="9" t="b">
        <f t="shared" si="2"/>
        <v>1</v>
      </c>
      <c r="K748" s="7" t="str">
        <f>IFERROR(__xludf.DUMMYFUNCTION("regexreplace(G748, ""_"", """")"),"postneuroexamabnormalmovement")</f>
        <v>postneuroexamabnormalmovement</v>
      </c>
      <c r="L748" s="48" t="s">
        <v>2925</v>
      </c>
      <c r="M748" s="43" t="s">
        <v>2926</v>
      </c>
    </row>
    <row r="749">
      <c r="A749" s="43"/>
      <c r="B749" s="46" t="s">
        <v>1210</v>
      </c>
      <c r="C749" s="40" t="s">
        <v>2927</v>
      </c>
      <c r="D749" s="40" t="s">
        <v>43</v>
      </c>
      <c r="E749" s="43" t="s">
        <v>2928</v>
      </c>
      <c r="F749" s="44">
        <f t="shared" si="40"/>
        <v>2</v>
      </c>
      <c r="G749" s="40" t="s">
        <v>2929</v>
      </c>
      <c r="H749" s="43"/>
      <c r="I749" s="7" t="str">
        <f>IFERROR(__xludf.DUMMYFUNCTION("regexreplace(lower(C749), ""_"", """")"),"postneuroexamgagreflexabsent")</f>
        <v>postneuroexamgagreflexabsent</v>
      </c>
      <c r="J749" s="9" t="b">
        <f t="shared" si="2"/>
        <v>1</v>
      </c>
      <c r="K749" s="7" t="str">
        <f>IFERROR(__xludf.DUMMYFUNCTION("regexreplace(G749, ""_"", """")"),"postneuroexamgagreflexabsent")</f>
        <v>postneuroexamgagreflexabsent</v>
      </c>
      <c r="L749" s="48" t="s">
        <v>2930</v>
      </c>
      <c r="M749" s="43" t="s">
        <v>2931</v>
      </c>
    </row>
    <row r="750">
      <c r="A750" s="43"/>
      <c r="B750" s="46" t="s">
        <v>1210</v>
      </c>
      <c r="C750" s="40" t="s">
        <v>2932</v>
      </c>
      <c r="D750" s="40" t="s">
        <v>43</v>
      </c>
      <c r="E750" s="48" t="s">
        <v>2933</v>
      </c>
      <c r="F750" s="44">
        <f t="shared" si="40"/>
        <v>1</v>
      </c>
      <c r="G750" s="40" t="s">
        <v>2934</v>
      </c>
      <c r="H750" s="43"/>
      <c r="I750" s="7" t="str">
        <f>IFERROR(__xludf.DUMMYFUNCTION("regexreplace(lower(C750), ""_"", """")"),"postneuroexamhypertonia")</f>
        <v>postneuroexamhypertonia</v>
      </c>
      <c r="J750" s="9" t="b">
        <f t="shared" si="2"/>
        <v>1</v>
      </c>
      <c r="K750" s="7" t="str">
        <f>IFERROR(__xludf.DUMMYFUNCTION("regexreplace(G750, ""_"", """")"),"postneuroexamhypertonia")</f>
        <v>postneuroexamhypertonia</v>
      </c>
      <c r="L750" s="48" t="s">
        <v>2935</v>
      </c>
      <c r="M750" s="43"/>
    </row>
    <row r="751">
      <c r="A751" s="43"/>
      <c r="B751" s="46" t="s">
        <v>1210</v>
      </c>
      <c r="C751" s="42" t="s">
        <v>2936</v>
      </c>
      <c r="D751" s="40" t="s">
        <v>43</v>
      </c>
      <c r="E751" s="43"/>
      <c r="F751" s="44">
        <f t="shared" si="40"/>
        <v>1</v>
      </c>
      <c r="G751" s="40" t="s">
        <v>2937</v>
      </c>
      <c r="H751" s="43"/>
      <c r="I751" s="7" t="str">
        <f>IFERROR(__xludf.DUMMYFUNCTION("regexreplace(lower(C751), ""_"", """")"),"postneuroexamasymtonicneckreflex")</f>
        <v>postneuroexamasymtonicneckreflex</v>
      </c>
      <c r="J751" s="9" t="b">
        <f t="shared" si="2"/>
        <v>1</v>
      </c>
      <c r="K751" s="7" t="str">
        <f>IFERROR(__xludf.DUMMYFUNCTION("regexreplace(G751, ""_"", """")"),"postneuroexamasymtonicneckreflex")</f>
        <v>postneuroexamasymtonicneckreflex</v>
      </c>
      <c r="L751" s="43"/>
      <c r="M751" s="43" t="s">
        <v>2938</v>
      </c>
    </row>
    <row r="752">
      <c r="A752" s="43"/>
      <c r="B752" s="46" t="s">
        <v>1210</v>
      </c>
      <c r="C752" s="40" t="s">
        <v>2939</v>
      </c>
      <c r="D752" s="43" t="s">
        <v>34</v>
      </c>
      <c r="E752" s="43"/>
      <c r="F752" s="44">
        <f t="shared" si="40"/>
        <v>0</v>
      </c>
      <c r="G752" s="40" t="s">
        <v>2940</v>
      </c>
      <c r="H752" s="43"/>
      <c r="I752" s="7" t="str">
        <f>IFERROR(__xludf.DUMMYFUNCTION("regexreplace(lower(C752), ""_"", """")"),"postneuroexamlevelconsciousnessscore")</f>
        <v>postneuroexamlevelconsciousnessscore</v>
      </c>
      <c r="J752" s="9" t="b">
        <f t="shared" si="2"/>
        <v>1</v>
      </c>
      <c r="K752" s="7" t="str">
        <f>IFERROR(__xludf.DUMMYFUNCTION("regexreplace(G752, ""_"", """")"),"postneuroexamlevelconsciousnessscore")</f>
        <v>postneuroexamlevelconsciousnessscore</v>
      </c>
      <c r="L752" s="43"/>
      <c r="M752" s="43"/>
    </row>
    <row r="753">
      <c r="A753" s="43"/>
      <c r="B753" s="46" t="s">
        <v>1210</v>
      </c>
      <c r="C753" s="40" t="s">
        <v>2941</v>
      </c>
      <c r="D753" s="43" t="s">
        <v>34</v>
      </c>
      <c r="E753" s="43"/>
      <c r="F753" s="44">
        <f t="shared" si="40"/>
        <v>0</v>
      </c>
      <c r="G753" s="40" t="s">
        <v>2942</v>
      </c>
      <c r="H753" s="43"/>
      <c r="I753" s="7" t="str">
        <f>IFERROR(__xludf.DUMMYFUNCTION("regexreplace(lower(C753), ""_"", """")"),"postneuroexamspontaneousactivityscore")</f>
        <v>postneuroexamspontaneousactivityscore</v>
      </c>
      <c r="J753" s="9" t="b">
        <f t="shared" si="2"/>
        <v>1</v>
      </c>
      <c r="K753" s="7" t="str">
        <f>IFERROR(__xludf.DUMMYFUNCTION("regexreplace(G753, ""_"", """")"),"postneuroexamspontaneousactivityscore")</f>
        <v>postneuroexamspontaneousactivityscore</v>
      </c>
      <c r="L753" s="43"/>
      <c r="M753" s="43"/>
    </row>
    <row r="754">
      <c r="A754" s="43"/>
      <c r="B754" s="46" t="s">
        <v>1210</v>
      </c>
      <c r="C754" s="40" t="s">
        <v>2943</v>
      </c>
      <c r="D754" s="43" t="s">
        <v>34</v>
      </c>
      <c r="E754" s="43"/>
      <c r="F754" s="44">
        <f t="shared" si="40"/>
        <v>0</v>
      </c>
      <c r="G754" s="40" t="s">
        <v>2944</v>
      </c>
      <c r="H754" s="43"/>
      <c r="I754" s="7" t="str">
        <f>IFERROR(__xludf.DUMMYFUNCTION("regexreplace(lower(C754), ""_"", """")"),"postneuroexamposturescore")</f>
        <v>postneuroexamposturescore</v>
      </c>
      <c r="J754" s="9" t="b">
        <f t="shared" si="2"/>
        <v>1</v>
      </c>
      <c r="K754" s="7" t="str">
        <f>IFERROR(__xludf.DUMMYFUNCTION("regexreplace(G754, ""_"", """")"),"postneuroexamposturescore")</f>
        <v>postneuroexamposturescore</v>
      </c>
      <c r="L754" s="43"/>
      <c r="M754" s="43"/>
    </row>
    <row r="755">
      <c r="A755" s="43"/>
      <c r="B755" s="46" t="s">
        <v>1210</v>
      </c>
      <c r="C755" s="40" t="s">
        <v>2945</v>
      </c>
      <c r="D755" s="43" t="s">
        <v>34</v>
      </c>
      <c r="E755" s="43"/>
      <c r="F755" s="44">
        <f t="shared" si="40"/>
        <v>0</v>
      </c>
      <c r="G755" s="40" t="s">
        <v>2946</v>
      </c>
      <c r="H755" s="43"/>
      <c r="I755" s="7" t="str">
        <f>IFERROR(__xludf.DUMMYFUNCTION("regexreplace(lower(C755), ""_"", """")"),"postneuroexamtonescore")</f>
        <v>postneuroexamtonescore</v>
      </c>
      <c r="J755" s="9" t="b">
        <f t="shared" si="2"/>
        <v>1</v>
      </c>
      <c r="K755" s="7" t="str">
        <f>IFERROR(__xludf.DUMMYFUNCTION("regexreplace(G755, ""_"", """")"),"postneuroexamtonescore")</f>
        <v>postneuroexamtonescore</v>
      </c>
      <c r="L755" s="43"/>
      <c r="M755" s="43"/>
    </row>
    <row r="756">
      <c r="A756" s="43"/>
      <c r="B756" s="46" t="s">
        <v>1210</v>
      </c>
      <c r="C756" s="40" t="s">
        <v>2947</v>
      </c>
      <c r="D756" s="43" t="s">
        <v>34</v>
      </c>
      <c r="E756" s="43"/>
      <c r="F756" s="44">
        <f t="shared" si="40"/>
        <v>0</v>
      </c>
      <c r="G756" s="40" t="s">
        <v>2948</v>
      </c>
      <c r="H756" s="43"/>
      <c r="I756" s="7" t="str">
        <f>IFERROR(__xludf.DUMMYFUNCTION("regexreplace(lower(C756), ""_"", """")"),"postneuroexamsuckscore")</f>
        <v>postneuroexamsuckscore</v>
      </c>
      <c r="J756" s="9" t="b">
        <f t="shared" si="2"/>
        <v>1</v>
      </c>
      <c r="K756" s="7" t="str">
        <f>IFERROR(__xludf.DUMMYFUNCTION("regexreplace(G756, ""_"", """")"),"postneuroexamsuckscore")</f>
        <v>postneuroexamsuckscore</v>
      </c>
      <c r="L756" s="43"/>
      <c r="M756" s="43"/>
    </row>
    <row r="757">
      <c r="A757" s="43"/>
      <c r="B757" s="46" t="s">
        <v>1210</v>
      </c>
      <c r="C757" s="40" t="s">
        <v>2949</v>
      </c>
      <c r="D757" s="43" t="s">
        <v>34</v>
      </c>
      <c r="E757" s="43"/>
      <c r="F757" s="44">
        <f t="shared" si="40"/>
        <v>0</v>
      </c>
      <c r="G757" s="40" t="s">
        <v>2950</v>
      </c>
      <c r="H757" s="43"/>
      <c r="I757" s="7" t="str">
        <f>IFERROR(__xludf.DUMMYFUNCTION("regexreplace(lower(C757), ""_"", """")"),"postneuroexammoroscore")</f>
        <v>postneuroexammoroscore</v>
      </c>
      <c r="J757" s="9" t="b">
        <f t="shared" si="2"/>
        <v>1</v>
      </c>
      <c r="K757" s="7" t="str">
        <f>IFERROR(__xludf.DUMMYFUNCTION("regexreplace(G757, ""_"", """")"),"postneuroexammoroscore")</f>
        <v>postneuroexammoroscore</v>
      </c>
      <c r="L757" s="43"/>
      <c r="M757" s="43"/>
    </row>
    <row r="758">
      <c r="A758" s="43"/>
      <c r="B758" s="46" t="s">
        <v>1210</v>
      </c>
      <c r="C758" s="40" t="s">
        <v>2951</v>
      </c>
      <c r="D758" s="43" t="s">
        <v>34</v>
      </c>
      <c r="E758" s="43"/>
      <c r="F758" s="44">
        <f t="shared" si="40"/>
        <v>0</v>
      </c>
      <c r="G758" s="40" t="s">
        <v>2952</v>
      </c>
      <c r="H758" s="43"/>
      <c r="I758" s="7" t="str">
        <f>IFERROR(__xludf.DUMMYFUNCTION("regexreplace(lower(C758), ""_"", """")"),"postneuroexampupilsscore")</f>
        <v>postneuroexampupilsscore</v>
      </c>
      <c r="J758" s="9" t="b">
        <f t="shared" si="2"/>
        <v>1</v>
      </c>
      <c r="K758" s="7" t="str">
        <f>IFERROR(__xludf.DUMMYFUNCTION("regexreplace(G758, ""_"", """")"),"postneuroexampupilsscore")</f>
        <v>postneuroexampupilsscore</v>
      </c>
      <c r="L758" s="43"/>
      <c r="M758" s="43"/>
    </row>
    <row r="759">
      <c r="A759" s="43"/>
      <c r="B759" s="46" t="s">
        <v>1210</v>
      </c>
      <c r="C759" s="40" t="s">
        <v>2953</v>
      </c>
      <c r="D759" s="43" t="s">
        <v>34</v>
      </c>
      <c r="E759" s="43"/>
      <c r="F759" s="44">
        <f t="shared" si="40"/>
        <v>0</v>
      </c>
      <c r="G759" s="40" t="s">
        <v>2954</v>
      </c>
      <c r="H759" s="43"/>
      <c r="I759" s="7" t="str">
        <f>IFERROR(__xludf.DUMMYFUNCTION("regexreplace(lower(C759), ""_"", """")"),"postneuroexamheartratescore")</f>
        <v>postneuroexamheartratescore</v>
      </c>
      <c r="J759" s="9" t="b">
        <f t="shared" si="2"/>
        <v>1</v>
      </c>
      <c r="K759" s="7" t="str">
        <f>IFERROR(__xludf.DUMMYFUNCTION("regexreplace(G759, ""_"", """")"),"postneuroexamheartratescore")</f>
        <v>postneuroexamheartratescore</v>
      </c>
      <c r="L759" s="43"/>
      <c r="M759" s="43"/>
    </row>
    <row r="760">
      <c r="A760" s="43"/>
      <c r="B760" s="46" t="s">
        <v>1210</v>
      </c>
      <c r="C760" s="40" t="s">
        <v>2955</v>
      </c>
      <c r="D760" s="43" t="s">
        <v>34</v>
      </c>
      <c r="E760" s="43"/>
      <c r="F760" s="44">
        <f t="shared" si="40"/>
        <v>0</v>
      </c>
      <c r="G760" s="40" t="s">
        <v>2956</v>
      </c>
      <c r="H760" s="43"/>
      <c r="I760" s="7" t="str">
        <f>IFERROR(__xludf.DUMMYFUNCTION("regexreplace(lower(C760), ""_"", """")"),"postneuroexamrespirationscore")</f>
        <v>postneuroexamrespirationscore</v>
      </c>
      <c r="J760" s="9" t="b">
        <f t="shared" si="2"/>
        <v>1</v>
      </c>
      <c r="K760" s="7" t="str">
        <f>IFERROR(__xludf.DUMMYFUNCTION("regexreplace(G760, ""_"", """")"),"postneuroexamrespirationscore")</f>
        <v>postneuroexamrespirationscore</v>
      </c>
      <c r="L760" s="43"/>
      <c r="M760" s="43"/>
    </row>
    <row r="761">
      <c r="A761" s="43"/>
      <c r="B761" s="46" t="s">
        <v>1210</v>
      </c>
      <c r="C761" s="40" t="s">
        <v>2957</v>
      </c>
      <c r="D761" s="43" t="s">
        <v>34</v>
      </c>
      <c r="E761" s="43"/>
      <c r="F761" s="44">
        <f t="shared" si="40"/>
        <v>0</v>
      </c>
      <c r="G761" s="40" t="s">
        <v>2958</v>
      </c>
      <c r="H761" s="43"/>
      <c r="I761" s="7" t="str">
        <f>IFERROR(__xludf.DUMMYFUNCTION("regexreplace(lower(C761), ""_"", """")"),"postneuroexamreflexscore")</f>
        <v>postneuroexamreflexscore</v>
      </c>
      <c r="J761" s="9" t="b">
        <f t="shared" si="2"/>
        <v>1</v>
      </c>
      <c r="K761" s="7" t="str">
        <f>IFERROR(__xludf.DUMMYFUNCTION("regexreplace(G761, ""_"", """")"),"postneuroexamreflexscore")</f>
        <v>postneuroexamreflexscore</v>
      </c>
      <c r="L761" s="43"/>
      <c r="M761" s="43"/>
    </row>
    <row r="762">
      <c r="A762" s="43"/>
      <c r="B762" s="46" t="s">
        <v>1210</v>
      </c>
      <c r="C762" s="40" t="s">
        <v>2959</v>
      </c>
      <c r="D762" s="43" t="s">
        <v>34</v>
      </c>
      <c r="E762" s="43"/>
      <c r="F762" s="44">
        <f t="shared" si="40"/>
        <v>0</v>
      </c>
      <c r="G762" s="40" t="s">
        <v>2960</v>
      </c>
      <c r="H762" s="43"/>
      <c r="I762" s="7" t="str">
        <f>IFERROR(__xludf.DUMMYFUNCTION("regexreplace(lower(C762), ""_"", """")"),"postneuroexamansscore")</f>
        <v>postneuroexamansscore</v>
      </c>
      <c r="J762" s="9" t="b">
        <f t="shared" si="2"/>
        <v>1</v>
      </c>
      <c r="K762" s="7" t="str">
        <f>IFERROR(__xludf.DUMMYFUNCTION("regexreplace(G762, ""_"", """")"),"postneuroexamansscore")</f>
        <v>postneuroexamansscore</v>
      </c>
      <c r="L762" s="43"/>
      <c r="M762" s="43"/>
    </row>
    <row r="763">
      <c r="A763" s="43"/>
      <c r="B763" s="46" t="s">
        <v>1210</v>
      </c>
      <c r="C763" s="40" t="s">
        <v>2961</v>
      </c>
      <c r="D763" s="43" t="s">
        <v>34</v>
      </c>
      <c r="E763" s="50" t="s">
        <v>2962</v>
      </c>
      <c r="F763" s="44">
        <f t="shared" si="40"/>
        <v>0</v>
      </c>
      <c r="G763" s="40" t="s">
        <v>2963</v>
      </c>
      <c r="H763" s="43"/>
      <c r="I763" s="7" t="str">
        <f>IFERROR(__xludf.DUMMYFUNCTION("regexreplace(lower(C763), ""_"", """")"),"posttotalmodifiedsarnatscore")</f>
        <v>posttotalmodifiedsarnatscore</v>
      </c>
      <c r="J763" s="9" t="b">
        <f t="shared" si="2"/>
        <v>1</v>
      </c>
      <c r="K763" s="7" t="str">
        <f>IFERROR(__xludf.DUMMYFUNCTION("regexreplace(G763, ""_"", """")"),"posttotalmodifiedsarnatscore")</f>
        <v>posttotalmodifiedsarnatscore</v>
      </c>
      <c r="L763" s="43"/>
      <c r="M763" s="43"/>
    </row>
    <row r="764">
      <c r="A764" s="12"/>
      <c r="B764" s="12"/>
      <c r="C764" s="13"/>
      <c r="D764" s="12"/>
      <c r="E764" s="12"/>
      <c r="F764" s="12"/>
      <c r="G764" s="12"/>
      <c r="H764" s="12"/>
      <c r="I764" s="7" t="str">
        <f>IFERROR(__xludf.DUMMYFUNCTION("regexreplace(lower(C764), ""_"", """")"),"")</f>
        <v/>
      </c>
      <c r="J764" s="9" t="str">
        <f t="shared" si="2"/>
        <v/>
      </c>
      <c r="K764" s="7" t="str">
        <f>IFERROR(__xludf.DUMMYFUNCTION("regexreplace(G764, ""_"", """")"),"")</f>
        <v/>
      </c>
      <c r="L764" s="12"/>
      <c r="M764" s="12"/>
    </row>
    <row r="765">
      <c r="A765" s="40" t="s">
        <v>2680</v>
      </c>
      <c r="B765" s="40" t="s">
        <v>2964</v>
      </c>
      <c r="C765" s="40" t="s">
        <v>18</v>
      </c>
      <c r="D765" s="40" t="s">
        <v>19</v>
      </c>
      <c r="E765" s="43"/>
      <c r="F765" s="44">
        <f t="shared" ref="F765:F849" si="41">counta(L765:M765)</f>
        <v>1</v>
      </c>
      <c r="G765" s="40" t="s">
        <v>21</v>
      </c>
      <c r="H765" s="43"/>
      <c r="I765" s="7" t="str">
        <f>IFERROR(__xludf.DUMMYFUNCTION("regexreplace(lower(C765), ""_"", """")"),"subjectid")</f>
        <v>subjectid</v>
      </c>
      <c r="J765" s="9" t="b">
        <f t="shared" si="2"/>
        <v>1</v>
      </c>
      <c r="K765" s="7" t="str">
        <f>IFERROR(__xludf.DUMMYFUNCTION("regexreplace(G765, ""_"", """")"),"subjectid")</f>
        <v>subjectid</v>
      </c>
      <c r="L765" s="43"/>
      <c r="M765" s="43" t="s">
        <v>2965</v>
      </c>
    </row>
    <row r="766">
      <c r="A766" s="43"/>
      <c r="B766" s="40" t="s">
        <v>2964</v>
      </c>
      <c r="C766" s="40" t="s">
        <v>2966</v>
      </c>
      <c r="D766" s="40" t="s">
        <v>43</v>
      </c>
      <c r="E766" s="43" t="s">
        <v>2967</v>
      </c>
      <c r="F766" s="44">
        <f t="shared" si="41"/>
        <v>2</v>
      </c>
      <c r="G766" s="40" t="s">
        <v>2968</v>
      </c>
      <c r="H766" s="43"/>
      <c r="I766" s="7" t="str">
        <f>IFERROR(__xludf.DUMMYFUNCTION("regexreplace(lower(C766), ""_"", """")"),"mriavailable")</f>
        <v>mriavailable</v>
      </c>
      <c r="J766" s="9" t="b">
        <f t="shared" si="2"/>
        <v>1</v>
      </c>
      <c r="K766" s="7" t="str">
        <f>IFERROR(__xludf.DUMMYFUNCTION("regexreplace(G766, ""_"", """")"),"mriavailable")</f>
        <v>mriavailable</v>
      </c>
      <c r="L766" s="43" t="s">
        <v>2969</v>
      </c>
      <c r="M766" s="43" t="s">
        <v>2970</v>
      </c>
    </row>
    <row r="767">
      <c r="A767" s="43"/>
      <c r="B767" s="40" t="s">
        <v>2964</v>
      </c>
      <c r="C767" s="40" t="s">
        <v>2971</v>
      </c>
      <c r="D767" s="40" t="s">
        <v>43</v>
      </c>
      <c r="E767" s="43"/>
      <c r="F767" s="44">
        <f t="shared" si="41"/>
        <v>1</v>
      </c>
      <c r="G767" s="40" t="s">
        <v>2972</v>
      </c>
      <c r="H767" s="43"/>
      <c r="I767" s="7" t="str">
        <f>IFERROR(__xludf.DUMMYFUNCTION("regexreplace(lower(C767), ""_"", """")"),"mriavailablec")</f>
        <v>mriavailablec</v>
      </c>
      <c r="J767" s="9" t="b">
        <f t="shared" si="2"/>
        <v>1</v>
      </c>
      <c r="K767" s="7" t="str">
        <f>IFERROR(__xludf.DUMMYFUNCTION("regexreplace(G767, ""_"", """")"),"mriavailablec")</f>
        <v>mriavailablec</v>
      </c>
      <c r="L767" s="43"/>
      <c r="M767" s="43" t="s">
        <v>2973</v>
      </c>
    </row>
    <row r="768">
      <c r="A768" s="43"/>
      <c r="B768" s="40" t="s">
        <v>2964</v>
      </c>
      <c r="C768" s="40" t="s">
        <v>2974</v>
      </c>
      <c r="D768" s="40" t="s">
        <v>43</v>
      </c>
      <c r="E768" s="43" t="s">
        <v>2975</v>
      </c>
      <c r="F768" s="44">
        <f t="shared" si="41"/>
        <v>1</v>
      </c>
      <c r="G768" s="40" t="s">
        <v>2976</v>
      </c>
      <c r="H768" s="43"/>
      <c r="I768" s="7" t="str">
        <f>IFERROR(__xludf.DUMMYFUNCTION("regexreplace(lower(C768), ""_"", """")"),"mriobtain")</f>
        <v>mriobtain</v>
      </c>
      <c r="J768" s="9" t="b">
        <f t="shared" si="2"/>
        <v>1</v>
      </c>
      <c r="K768" s="7" t="str">
        <f>IFERROR(__xludf.DUMMYFUNCTION("regexreplace(G768, ""_"", """")"),"mriobtain")</f>
        <v>mriobtain</v>
      </c>
      <c r="L768" s="43" t="s">
        <v>2977</v>
      </c>
      <c r="M768" s="43"/>
    </row>
    <row r="769">
      <c r="A769" s="43"/>
      <c r="B769" s="40" t="s">
        <v>2964</v>
      </c>
      <c r="C769" s="40" t="s">
        <v>2978</v>
      </c>
      <c r="D769" s="40" t="s">
        <v>2978</v>
      </c>
      <c r="E769" s="43" t="s">
        <v>2979</v>
      </c>
      <c r="F769" s="44">
        <f t="shared" si="41"/>
        <v>1</v>
      </c>
      <c r="G769" s="40" t="s">
        <v>2980</v>
      </c>
      <c r="H769" s="43"/>
      <c r="I769" s="7" t="str">
        <f>IFERROR(__xludf.DUMMYFUNCTION("regexreplace(lower(C769), ""_"", """")"),"mriobtainwindow")</f>
        <v>mriobtainwindow</v>
      </c>
      <c r="J769" s="9" t="b">
        <f t="shared" si="2"/>
        <v>1</v>
      </c>
      <c r="K769" s="7" t="str">
        <f>IFERROR(__xludf.DUMMYFUNCTION("regexreplace(G769, ""_"", """")"),"mriobtainwindow")</f>
        <v>mriobtainwindow</v>
      </c>
      <c r="L769" s="43"/>
      <c r="M769" s="43" t="s">
        <v>2981</v>
      </c>
    </row>
    <row r="770">
      <c r="A770" s="43"/>
      <c r="B770" s="40" t="s">
        <v>2964</v>
      </c>
      <c r="C770" s="40" t="s">
        <v>2982</v>
      </c>
      <c r="D770" s="40" t="s">
        <v>2978</v>
      </c>
      <c r="E770" s="43"/>
      <c r="F770" s="44">
        <f t="shared" si="41"/>
        <v>1</v>
      </c>
      <c r="G770" s="40" t="s">
        <v>2983</v>
      </c>
      <c r="H770" s="43"/>
      <c r="I770" s="7" t="str">
        <f>IFERROR(__xludf.DUMMYFUNCTION("regexreplace(lower(C770), ""_"", """")"),"mriobtainwindowc")</f>
        <v>mriobtainwindowc</v>
      </c>
      <c r="J770" s="9" t="b">
        <f t="shared" si="2"/>
        <v>1</v>
      </c>
      <c r="K770" s="7" t="str">
        <f>IFERROR(__xludf.DUMMYFUNCTION("regexreplace(G770, ""_"", """")"),"mriobtainwindowc")</f>
        <v>mriobtainwindowc</v>
      </c>
      <c r="L770" s="43"/>
      <c r="M770" s="43" t="s">
        <v>2984</v>
      </c>
    </row>
    <row r="771">
      <c r="A771" s="43"/>
      <c r="B771" s="40" t="s">
        <v>2964</v>
      </c>
      <c r="C771" s="40" t="s">
        <v>2985</v>
      </c>
      <c r="D771" s="40" t="s">
        <v>29</v>
      </c>
      <c r="E771" s="43" t="s">
        <v>2986</v>
      </c>
      <c r="F771" s="44">
        <f t="shared" si="41"/>
        <v>1</v>
      </c>
      <c r="G771" s="40" t="s">
        <v>2987</v>
      </c>
      <c r="H771" s="43"/>
      <c r="I771" s="7" t="str">
        <f>IFERROR(__xludf.DUMMYFUNCTION("regexreplace(lower(C771), ""_"", """")"),"mridate")</f>
        <v>mridate</v>
      </c>
      <c r="J771" s="9" t="b">
        <f t="shared" si="2"/>
        <v>1</v>
      </c>
      <c r="K771" s="7" t="str">
        <f>IFERROR(__xludf.DUMMYFUNCTION("regexreplace(G771, ""_"", """")"),"mridate")</f>
        <v>mridate</v>
      </c>
      <c r="L771" s="43" t="s">
        <v>2988</v>
      </c>
      <c r="M771" s="43"/>
    </row>
    <row r="772">
      <c r="A772" s="43"/>
      <c r="B772" s="40" t="s">
        <v>2964</v>
      </c>
      <c r="C772" s="40" t="s">
        <v>2989</v>
      </c>
      <c r="D772" s="40" t="s">
        <v>148</v>
      </c>
      <c r="E772" s="43" t="s">
        <v>2990</v>
      </c>
      <c r="F772" s="44">
        <f t="shared" si="41"/>
        <v>1</v>
      </c>
      <c r="G772" s="40" t="s">
        <v>2991</v>
      </c>
      <c r="H772" s="43"/>
      <c r="I772" s="7" t="str">
        <f>IFERROR(__xludf.DUMMYFUNCTION("regexreplace(lower(C772), ""_"", """")"),"mritime")</f>
        <v>mritime</v>
      </c>
      <c r="J772" s="9" t="b">
        <f t="shared" si="2"/>
        <v>1</v>
      </c>
      <c r="K772" s="7" t="str">
        <f>IFERROR(__xludf.DUMMYFUNCTION("regexreplace(G772, ""_"", """")"),"mritime")</f>
        <v>mritime</v>
      </c>
      <c r="L772" s="43" t="s">
        <v>2992</v>
      </c>
      <c r="M772" s="43"/>
    </row>
    <row r="773">
      <c r="A773" s="43"/>
      <c r="B773" s="40" t="s">
        <v>2964</v>
      </c>
      <c r="C773" s="40" t="s">
        <v>2993</v>
      </c>
      <c r="D773" s="40" t="s">
        <v>19</v>
      </c>
      <c r="E773" s="43"/>
      <c r="F773" s="44">
        <f t="shared" si="41"/>
        <v>1</v>
      </c>
      <c r="G773" s="40" t="s">
        <v>2994</v>
      </c>
      <c r="H773" s="43"/>
      <c r="I773" s="7" t="str">
        <f>IFERROR(__xludf.DUMMYFUNCTION("regexreplace(lower(C773), ""_"", """")"),"mriobtaincomment")</f>
        <v>mriobtaincomment</v>
      </c>
      <c r="J773" s="9" t="b">
        <f t="shared" si="2"/>
        <v>1</v>
      </c>
      <c r="K773" s="7" t="str">
        <f>IFERROR(__xludf.DUMMYFUNCTION("regexreplace(G773, ""_"", """")"),"mriobtaincomment")</f>
        <v>mriobtaincomment</v>
      </c>
      <c r="L773" s="43"/>
      <c r="M773" s="43" t="s">
        <v>2995</v>
      </c>
    </row>
    <row r="774">
      <c r="A774" s="43"/>
      <c r="B774" s="40" t="s">
        <v>2964</v>
      </c>
      <c r="C774" s="40" t="s">
        <v>2996</v>
      </c>
      <c r="D774" s="40" t="s">
        <v>29</v>
      </c>
      <c r="E774" s="43" t="s">
        <v>2997</v>
      </c>
      <c r="F774" s="44">
        <f t="shared" si="41"/>
        <v>2</v>
      </c>
      <c r="G774" s="40" t="s">
        <v>2998</v>
      </c>
      <c r="H774" s="43"/>
      <c r="I774" s="7" t="str">
        <f>IFERROR(__xludf.DUMMYFUNCTION("regexreplace(lower(C774), ""_"", """")"),"mrisendrtidate")</f>
        <v>mrisendrtidate</v>
      </c>
      <c r="J774" s="9" t="b">
        <f t="shared" si="2"/>
        <v>1</v>
      </c>
      <c r="K774" s="7" t="str">
        <f>IFERROR(__xludf.DUMMYFUNCTION("regexreplace(G774, ""_"", """")"),"mrisendrtidate")</f>
        <v>mrisendrtidate</v>
      </c>
      <c r="L774" s="43" t="s">
        <v>2999</v>
      </c>
      <c r="M774" s="43" t="s">
        <v>3000</v>
      </c>
    </row>
    <row r="775">
      <c r="A775" s="43"/>
      <c r="B775" s="40" t="s">
        <v>2964</v>
      </c>
      <c r="C775" s="40" t="s">
        <v>3001</v>
      </c>
      <c r="D775" s="40" t="s">
        <v>29</v>
      </c>
      <c r="E775" s="43" t="s">
        <v>3002</v>
      </c>
      <c r="F775" s="44">
        <f t="shared" si="41"/>
        <v>1</v>
      </c>
      <c r="G775" s="40" t="s">
        <v>3003</v>
      </c>
      <c r="H775" s="43"/>
      <c r="I775" s="7" t="str">
        <f>IFERROR(__xludf.DUMMYFUNCTION("regexreplace(lower(C775), ""_"", """")"),"mrireceivertidate")</f>
        <v>mrireceivertidate</v>
      </c>
      <c r="J775" s="9" t="b">
        <f t="shared" si="2"/>
        <v>1</v>
      </c>
      <c r="K775" s="7" t="str">
        <f>IFERROR(__xludf.DUMMYFUNCTION("regexreplace(G775, ""_"", """")"),"mrireceivertidate")</f>
        <v>mrireceivertidate</v>
      </c>
      <c r="L775" s="43"/>
      <c r="M775" s="43" t="s">
        <v>3004</v>
      </c>
    </row>
    <row r="776">
      <c r="A776" s="43"/>
      <c r="B776" s="40" t="s">
        <v>2964</v>
      </c>
      <c r="C776" s="40" t="s">
        <v>3005</v>
      </c>
      <c r="D776" s="40" t="s">
        <v>3005</v>
      </c>
      <c r="E776" s="43" t="s">
        <v>3006</v>
      </c>
      <c r="F776" s="44">
        <f t="shared" si="41"/>
        <v>2</v>
      </c>
      <c r="G776" s="40" t="s">
        <v>3007</v>
      </c>
      <c r="H776" s="43"/>
      <c r="I776" s="7" t="str">
        <f>IFERROR(__xludf.DUMMYFUNCTION("regexreplace(lower(C776), ""_"", """")"),"mrinoobtainreason")</f>
        <v>mrinoobtainreason</v>
      </c>
      <c r="J776" s="9" t="b">
        <f t="shared" si="2"/>
        <v>1</v>
      </c>
      <c r="K776" s="7" t="str">
        <f>IFERROR(__xludf.DUMMYFUNCTION("regexreplace(G776, ""_"", """")"),"mrinoobtainreason")</f>
        <v>mrinoobtainreason</v>
      </c>
      <c r="L776" s="43" t="s">
        <v>3008</v>
      </c>
      <c r="M776" s="43" t="s">
        <v>3009</v>
      </c>
    </row>
    <row r="777">
      <c r="A777" s="43"/>
      <c r="B777" s="40" t="s">
        <v>2964</v>
      </c>
      <c r="C777" s="40" t="s">
        <v>3010</v>
      </c>
      <c r="D777" s="40" t="s">
        <v>3005</v>
      </c>
      <c r="E777" s="43"/>
      <c r="F777" s="44">
        <f t="shared" si="41"/>
        <v>1</v>
      </c>
      <c r="G777" s="40" t="s">
        <v>3011</v>
      </c>
      <c r="H777" s="43"/>
      <c r="I777" s="7" t="str">
        <f>IFERROR(__xludf.DUMMYFUNCTION("regexreplace(lower(C777), ""_"", """")"),"mrinoobtainreasonc")</f>
        <v>mrinoobtainreasonc</v>
      </c>
      <c r="J777" s="9" t="b">
        <f t="shared" si="2"/>
        <v>1</v>
      </c>
      <c r="K777" s="7" t="str">
        <f>IFERROR(__xludf.DUMMYFUNCTION("regexreplace(G777, ""_"", """")"),"mrinoobtainreasonc")</f>
        <v>mrinoobtainreasonc</v>
      </c>
      <c r="L777" s="43"/>
      <c r="M777" s="43" t="s">
        <v>3012</v>
      </c>
    </row>
    <row r="778">
      <c r="A778" s="43"/>
      <c r="B778" s="40" t="s">
        <v>2964</v>
      </c>
      <c r="C778" s="40" t="s">
        <v>3013</v>
      </c>
      <c r="D778" s="40" t="s">
        <v>19</v>
      </c>
      <c r="E778" s="43" t="s">
        <v>3014</v>
      </c>
      <c r="F778" s="44">
        <f t="shared" si="41"/>
        <v>1</v>
      </c>
      <c r="G778" s="40" t="s">
        <v>3015</v>
      </c>
      <c r="H778" s="43"/>
      <c r="I778" s="7" t="str">
        <f>IFERROR(__xludf.DUMMYFUNCTION("regexreplace(lower(C778), ""_"", """")"),"mrinoobtainreasontext")</f>
        <v>mrinoobtainreasontext</v>
      </c>
      <c r="J778" s="9" t="b">
        <f t="shared" si="2"/>
        <v>1</v>
      </c>
      <c r="K778" s="7" t="str">
        <f>IFERROR(__xludf.DUMMYFUNCTION("regexreplace(G778, ""_"", """")"),"mrinoobtainreasontext")</f>
        <v>mrinoobtainreasontext</v>
      </c>
      <c r="L778" s="43"/>
      <c r="M778" s="43" t="s">
        <v>3016</v>
      </c>
    </row>
    <row r="779">
      <c r="A779" s="43"/>
      <c r="B779" s="40" t="s">
        <v>2964</v>
      </c>
      <c r="C779" s="40" t="s">
        <v>2985</v>
      </c>
      <c r="D779" s="40" t="s">
        <v>29</v>
      </c>
      <c r="E779" s="43" t="s">
        <v>2986</v>
      </c>
      <c r="F779" s="44">
        <f t="shared" si="41"/>
        <v>2</v>
      </c>
      <c r="G779" s="40" t="s">
        <v>2987</v>
      </c>
      <c r="H779" s="40"/>
      <c r="I779" s="7" t="str">
        <f>IFERROR(__xludf.DUMMYFUNCTION("regexreplace(lower(C779), ""_"", """")"),"mridate")</f>
        <v>mridate</v>
      </c>
      <c r="J779" s="9" t="b">
        <f t="shared" si="2"/>
        <v>1</v>
      </c>
      <c r="K779" s="7" t="str">
        <f>IFERROR(__xludf.DUMMYFUNCTION("regexreplace(G779, ""_"", """")"),"mridate")</f>
        <v>mridate</v>
      </c>
      <c r="L779" s="43" t="s">
        <v>3017</v>
      </c>
      <c r="M779" s="43" t="s">
        <v>3018</v>
      </c>
    </row>
    <row r="780">
      <c r="A780" s="43"/>
      <c r="B780" s="40" t="s">
        <v>2964</v>
      </c>
      <c r="C780" s="40" t="s">
        <v>2989</v>
      </c>
      <c r="D780" s="40" t="s">
        <v>148</v>
      </c>
      <c r="E780" s="43" t="s">
        <v>2990</v>
      </c>
      <c r="F780" s="44">
        <f t="shared" si="41"/>
        <v>2</v>
      </c>
      <c r="G780" s="40" t="s">
        <v>2991</v>
      </c>
      <c r="H780" s="40"/>
      <c r="I780" s="7" t="str">
        <f>IFERROR(__xludf.DUMMYFUNCTION("regexreplace(lower(C780), ""_"", """")"),"mritime")</f>
        <v>mritime</v>
      </c>
      <c r="J780" s="9" t="b">
        <f t="shared" si="2"/>
        <v>1</v>
      </c>
      <c r="K780" s="7" t="str">
        <f>IFERROR(__xludf.DUMMYFUNCTION("regexreplace(G780, ""_"", """")"),"mritime")</f>
        <v>mritime</v>
      </c>
      <c r="L780" s="43" t="s">
        <v>3019</v>
      </c>
      <c r="M780" s="43" t="s">
        <v>3020</v>
      </c>
    </row>
    <row r="781">
      <c r="A781" s="43"/>
      <c r="B781" s="40" t="s">
        <v>2964</v>
      </c>
      <c r="C781" s="40" t="s">
        <v>3021</v>
      </c>
      <c r="D781" s="40" t="s">
        <v>43</v>
      </c>
      <c r="E781" s="43" t="s">
        <v>3022</v>
      </c>
      <c r="F781" s="44">
        <f t="shared" si="41"/>
        <v>1</v>
      </c>
      <c r="G781" s="40" t="s">
        <v>3023</v>
      </c>
      <c r="H781" s="43"/>
      <c r="I781" s="7" t="str">
        <f>IFERROR(__xludf.DUMMYFUNCTION("regexreplace(lower(C781), ""_"", """")"),"mriread")</f>
        <v>mriread</v>
      </c>
      <c r="J781" s="9" t="b">
        <f t="shared" si="2"/>
        <v>1</v>
      </c>
      <c r="K781" s="7" t="str">
        <f>IFERROR(__xludf.DUMMYFUNCTION("regexreplace(G781, ""_"", """")"),"mriread")</f>
        <v>mriread</v>
      </c>
      <c r="L781" s="43" t="s">
        <v>3024</v>
      </c>
      <c r="M781" s="43"/>
    </row>
    <row r="782">
      <c r="A782" s="43"/>
      <c r="B782" s="40" t="s">
        <v>2964</v>
      </c>
      <c r="C782" s="40" t="s">
        <v>3025</v>
      </c>
      <c r="D782" s="40" t="s">
        <v>3026</v>
      </c>
      <c r="E782" s="43" t="s">
        <v>3027</v>
      </c>
      <c r="F782" s="44">
        <f t="shared" si="41"/>
        <v>1</v>
      </c>
      <c r="G782" s="40" t="s">
        <v>3028</v>
      </c>
      <c r="H782" s="43"/>
      <c r="I782" s="7" t="str">
        <f>IFERROR(__xludf.DUMMYFUNCTION("regexreplace(lower(C782), ""_"", """")"),"mriscore")</f>
        <v>mriscore</v>
      </c>
      <c r="J782" s="9" t="b">
        <f t="shared" si="2"/>
        <v>1</v>
      </c>
      <c r="K782" s="7" t="str">
        <f>IFERROR(__xludf.DUMMYFUNCTION("regexreplace(G782, ""_"", """")"),"mriscore")</f>
        <v>mriscore</v>
      </c>
      <c r="L782" s="43" t="s">
        <v>3029</v>
      </c>
      <c r="M782" s="43"/>
    </row>
    <row r="783">
      <c r="A783" s="43"/>
      <c r="B783" s="40" t="s">
        <v>2964</v>
      </c>
      <c r="C783" s="40"/>
      <c r="D783" s="40" t="s">
        <v>29</v>
      </c>
      <c r="E783" s="43"/>
      <c r="F783" s="44">
        <f t="shared" si="41"/>
        <v>2</v>
      </c>
      <c r="G783" s="43" t="s">
        <v>913</v>
      </c>
      <c r="H783" s="43"/>
      <c r="I783" s="7" t="str">
        <f>IFERROR(__xludf.DUMMYFUNCTION("regexreplace(lower(C783), ""_"", """")"),"")</f>
        <v/>
      </c>
      <c r="J783" s="9" t="str">
        <f t="shared" si="2"/>
        <v/>
      </c>
      <c r="K783" s="7" t="str">
        <f>IFERROR(__xludf.DUMMYFUNCTION("regexreplace(G783, ""_"", """")"),"")</f>
        <v/>
      </c>
      <c r="L783" s="43" t="s">
        <v>3030</v>
      </c>
      <c r="M783" s="43" t="s">
        <v>3030</v>
      </c>
    </row>
    <row r="784">
      <c r="A784" s="43"/>
      <c r="B784" s="40" t="s">
        <v>2964</v>
      </c>
      <c r="C784" s="40"/>
      <c r="D784" s="40" t="s">
        <v>29</v>
      </c>
      <c r="E784" s="43"/>
      <c r="F784" s="44">
        <f t="shared" si="41"/>
        <v>2</v>
      </c>
      <c r="G784" s="43" t="s">
        <v>913</v>
      </c>
      <c r="H784" s="43"/>
      <c r="I784" s="7" t="str">
        <f>IFERROR(__xludf.DUMMYFUNCTION("regexreplace(lower(C784), ""_"", """")"),"")</f>
        <v/>
      </c>
      <c r="J784" s="9" t="str">
        <f t="shared" si="2"/>
        <v/>
      </c>
      <c r="K784" s="7" t="str">
        <f>IFERROR(__xludf.DUMMYFUNCTION("regexreplace(G784, ""_"", """")"),"")</f>
        <v/>
      </c>
      <c r="L784" s="43" t="s">
        <v>3031</v>
      </c>
      <c r="M784" s="43" t="s">
        <v>3031</v>
      </c>
    </row>
    <row r="785">
      <c r="A785" s="43"/>
      <c r="B785" s="40" t="s">
        <v>2964</v>
      </c>
      <c r="C785" s="40"/>
      <c r="D785" s="40" t="s">
        <v>19</v>
      </c>
      <c r="E785" s="43"/>
      <c r="F785" s="44">
        <f t="shared" si="41"/>
        <v>2</v>
      </c>
      <c r="G785" s="43" t="s">
        <v>913</v>
      </c>
      <c r="H785" s="43"/>
      <c r="I785" s="7" t="str">
        <f>IFERROR(__xludf.DUMMYFUNCTION("regexreplace(lower(C785), ""_"", """")"),"")</f>
        <v/>
      </c>
      <c r="J785" s="9" t="str">
        <f t="shared" si="2"/>
        <v/>
      </c>
      <c r="K785" s="7" t="str">
        <f>IFERROR(__xludf.DUMMYFUNCTION("regexreplace(G785, ""_"", """")"),"")</f>
        <v/>
      </c>
      <c r="L785" s="43" t="s">
        <v>3032</v>
      </c>
      <c r="M785" s="43" t="s">
        <v>3032</v>
      </c>
    </row>
    <row r="786">
      <c r="A786" s="43"/>
      <c r="B786" s="40" t="s">
        <v>2964</v>
      </c>
      <c r="C786" s="40"/>
      <c r="D786" s="43"/>
      <c r="E786" s="43"/>
      <c r="F786" s="44">
        <f t="shared" si="41"/>
        <v>2</v>
      </c>
      <c r="G786" s="43" t="s">
        <v>913</v>
      </c>
      <c r="H786" s="43"/>
      <c r="I786" s="7" t="str">
        <f>IFERROR(__xludf.DUMMYFUNCTION("regexreplace(lower(C786), ""_"", """")"),"")</f>
        <v/>
      </c>
      <c r="J786" s="9" t="str">
        <f t="shared" si="2"/>
        <v/>
      </c>
      <c r="K786" s="7" t="str">
        <f>IFERROR(__xludf.DUMMYFUNCTION("regexreplace(G786, ""_"", """")"),"")</f>
        <v/>
      </c>
      <c r="L786" s="43" t="s">
        <v>3033</v>
      </c>
      <c r="M786" s="43" t="s">
        <v>3033</v>
      </c>
    </row>
    <row r="787">
      <c r="A787" s="43"/>
      <c r="B787" s="40" t="s">
        <v>2964</v>
      </c>
      <c r="C787" s="40" t="s">
        <v>3034</v>
      </c>
      <c r="D787" s="40" t="s">
        <v>19</v>
      </c>
      <c r="E787" s="43" t="s">
        <v>3035</v>
      </c>
      <c r="F787" s="44">
        <f t="shared" si="41"/>
        <v>2</v>
      </c>
      <c r="G787" s="40" t="s">
        <v>3036</v>
      </c>
      <c r="H787" s="43"/>
      <c r="I787" s="7" t="str">
        <f>IFERROR(__xludf.DUMMYFUNCTION("regexreplace(lower(C787), ""_"", """")"),"mriiteration")</f>
        <v>mriiteration</v>
      </c>
      <c r="J787" s="9" t="b">
        <f t="shared" si="2"/>
        <v>1</v>
      </c>
      <c r="K787" s="7" t="str">
        <f>IFERROR(__xludf.DUMMYFUNCTION("regexreplace(G787, ""_"", """")"),"mriiteration")</f>
        <v>mriiteration</v>
      </c>
      <c r="L787" s="43" t="s">
        <v>3037</v>
      </c>
      <c r="M787" s="43" t="s">
        <v>3037</v>
      </c>
    </row>
    <row r="788">
      <c r="A788" s="43"/>
      <c r="B788" s="40" t="s">
        <v>2964</v>
      </c>
      <c r="C788" s="40" t="s">
        <v>3038</v>
      </c>
      <c r="D788" s="40" t="s">
        <v>34</v>
      </c>
      <c r="E788" s="43"/>
      <c r="F788" s="44">
        <f t="shared" si="41"/>
        <v>1</v>
      </c>
      <c r="G788" s="40" t="s">
        <v>3039</v>
      </c>
      <c r="H788" s="43"/>
      <c r="I788" s="7" t="str">
        <f>IFERROR(__xludf.DUMMYFUNCTION("regexreplace(lower(C788), ""_"", """")"),"mriincrement")</f>
        <v>mriincrement</v>
      </c>
      <c r="J788" s="9" t="b">
        <f t="shared" si="2"/>
        <v>1</v>
      </c>
      <c r="K788" s="7" t="str">
        <f>IFERROR(__xludf.DUMMYFUNCTION("regexreplace(G788, ""_"", """")"),"mriincrement")</f>
        <v>mriincrement</v>
      </c>
      <c r="L788" s="43"/>
      <c r="M788" s="43" t="s">
        <v>3040</v>
      </c>
    </row>
    <row r="789">
      <c r="A789" s="43"/>
      <c r="B789" s="40" t="s">
        <v>2964</v>
      </c>
      <c r="C789" s="40" t="s">
        <v>15</v>
      </c>
      <c r="D789" s="40" t="s">
        <v>15</v>
      </c>
      <c r="E789" s="43"/>
      <c r="F789" s="44">
        <f t="shared" si="41"/>
        <v>2</v>
      </c>
      <c r="G789" s="40" t="s">
        <v>15</v>
      </c>
      <c r="H789" s="43"/>
      <c r="I789" s="7" t="str">
        <f>IFERROR(__xludf.DUMMYFUNCTION("regexreplace(lower(C789), ""_"", """")"),"center")</f>
        <v>center</v>
      </c>
      <c r="J789" s="9" t="b">
        <f t="shared" si="2"/>
        <v>1</v>
      </c>
      <c r="K789" s="7" t="str">
        <f>IFERROR(__xludf.DUMMYFUNCTION("regexreplace(G789, ""_"", """")"),"center")</f>
        <v>center</v>
      </c>
      <c r="L789" s="43" t="s">
        <v>3041</v>
      </c>
      <c r="M789" s="43" t="s">
        <v>3041</v>
      </c>
    </row>
    <row r="790">
      <c r="A790" s="43"/>
      <c r="B790" s="40" t="s">
        <v>2964</v>
      </c>
      <c r="C790" s="40" t="s">
        <v>3042</v>
      </c>
      <c r="D790" s="40" t="s">
        <v>19</v>
      </c>
      <c r="E790" s="43"/>
      <c r="F790" s="44">
        <f t="shared" si="41"/>
        <v>1</v>
      </c>
      <c r="G790" s="40" t="s">
        <v>3043</v>
      </c>
      <c r="H790" s="43"/>
      <c r="I790" s="7" t="str">
        <f>IFERROR(__xludf.DUMMYFUNCTION("regexreplace(lower(C790), ""_"", """")"),"mriid")</f>
        <v>mriid</v>
      </c>
      <c r="J790" s="9" t="b">
        <f t="shared" si="2"/>
        <v>1</v>
      </c>
      <c r="K790" s="7" t="str">
        <f>IFERROR(__xludf.DUMMYFUNCTION("regexreplace(G790, ""_"", """")"),"mriid")</f>
        <v>mriid</v>
      </c>
      <c r="L790" s="43" t="s">
        <v>3044</v>
      </c>
      <c r="M790" s="43"/>
    </row>
    <row r="791">
      <c r="A791" s="43"/>
      <c r="B791" s="40" t="s">
        <v>2964</v>
      </c>
      <c r="C791" s="40" t="s">
        <v>18</v>
      </c>
      <c r="D791" s="40" t="s">
        <v>19</v>
      </c>
      <c r="E791" s="43"/>
      <c r="F791" s="44">
        <f t="shared" si="41"/>
        <v>1</v>
      </c>
      <c r="G791" s="40" t="s">
        <v>21</v>
      </c>
      <c r="H791" s="43"/>
      <c r="I791" s="7" t="str">
        <f>IFERROR(__xludf.DUMMYFUNCTION("regexreplace(lower(C791), ""_"", """")"),"subjectid")</f>
        <v>subjectid</v>
      </c>
      <c r="J791" s="9" t="b">
        <f t="shared" si="2"/>
        <v>1</v>
      </c>
      <c r="K791" s="7" t="str">
        <f>IFERROR(__xludf.DUMMYFUNCTION("regexreplace(G791, ""_"", """")"),"subjectid")</f>
        <v>subjectid</v>
      </c>
      <c r="L791" s="43" t="s">
        <v>3045</v>
      </c>
      <c r="M791" s="43"/>
    </row>
    <row r="792">
      <c r="A792" s="43"/>
      <c r="B792" s="40" t="s">
        <v>2964</v>
      </c>
      <c r="C792" s="40"/>
      <c r="D792" s="40" t="s">
        <v>19</v>
      </c>
      <c r="E792" s="43" t="s">
        <v>3046</v>
      </c>
      <c r="F792" s="44">
        <f t="shared" si="41"/>
        <v>2</v>
      </c>
      <c r="G792" s="43" t="s">
        <v>913</v>
      </c>
      <c r="H792" s="43"/>
      <c r="I792" s="7" t="str">
        <f>IFERROR(__xludf.DUMMYFUNCTION("regexreplace(lower(C792), ""_"", """")"),"")</f>
        <v/>
      </c>
      <c r="J792" s="9" t="str">
        <f t="shared" si="2"/>
        <v/>
      </c>
      <c r="K792" s="7" t="str">
        <f>IFERROR(__xludf.DUMMYFUNCTION("regexreplace(G792, ""_"", """")"),"")</f>
        <v/>
      </c>
      <c r="L792" s="43" t="s">
        <v>3047</v>
      </c>
      <c r="M792" s="43" t="s">
        <v>3048</v>
      </c>
    </row>
    <row r="793">
      <c r="A793" s="43"/>
      <c r="B793" s="40" t="s">
        <v>2964</v>
      </c>
      <c r="C793" s="40" t="s">
        <v>3049</v>
      </c>
      <c r="D793" s="40" t="s">
        <v>3049</v>
      </c>
      <c r="E793" s="43"/>
      <c r="F793" s="44">
        <f t="shared" si="41"/>
        <v>2</v>
      </c>
      <c r="G793" s="40" t="s">
        <v>3050</v>
      </c>
      <c r="H793" s="43"/>
      <c r="I793" s="7" t="str">
        <f>IFERROR(__xludf.DUMMYFUNCTION("regexreplace(lower(C793), ""_"", """")"),"mrireader")</f>
        <v>mrireader</v>
      </c>
      <c r="J793" s="9" t="b">
        <f t="shared" si="2"/>
        <v>1</v>
      </c>
      <c r="K793" s="7" t="str">
        <f>IFERROR(__xludf.DUMMYFUNCTION("regexreplace(G793, ""_"", """")"),"mrireader")</f>
        <v>mrireader</v>
      </c>
      <c r="L793" s="43" t="s">
        <v>3051</v>
      </c>
      <c r="M793" s="43" t="s">
        <v>3052</v>
      </c>
    </row>
    <row r="794">
      <c r="A794" s="43"/>
      <c r="B794" s="40" t="s">
        <v>2964</v>
      </c>
      <c r="C794" s="40"/>
      <c r="D794" s="40" t="s">
        <v>19</v>
      </c>
      <c r="E794" s="43" t="s">
        <v>3053</v>
      </c>
      <c r="F794" s="44">
        <f t="shared" si="41"/>
        <v>1</v>
      </c>
      <c r="G794" s="43" t="s">
        <v>913</v>
      </c>
      <c r="H794" s="43"/>
      <c r="I794" s="7" t="str">
        <f>IFERROR(__xludf.DUMMYFUNCTION("regexreplace(lower(C794), ""_"", """")"),"")</f>
        <v/>
      </c>
      <c r="J794" s="9" t="str">
        <f t="shared" si="2"/>
        <v/>
      </c>
      <c r="K794" s="7" t="str">
        <f>IFERROR(__xludf.DUMMYFUNCTION("regexreplace(G794, ""_"", """")"),"")</f>
        <v/>
      </c>
      <c r="L794" s="43"/>
      <c r="M794" s="43" t="s">
        <v>3054</v>
      </c>
    </row>
    <row r="795">
      <c r="A795" s="43"/>
      <c r="B795" s="40" t="s">
        <v>2964</v>
      </c>
      <c r="C795" s="40"/>
      <c r="D795" s="40" t="s">
        <v>19</v>
      </c>
      <c r="E795" s="43" t="s">
        <v>3055</v>
      </c>
      <c r="F795" s="44">
        <f t="shared" si="41"/>
        <v>1</v>
      </c>
      <c r="G795" s="43" t="s">
        <v>913</v>
      </c>
      <c r="H795" s="43"/>
      <c r="I795" s="7" t="str">
        <f>IFERROR(__xludf.DUMMYFUNCTION("regexreplace(lower(C795), ""_"", """")"),"")</f>
        <v/>
      </c>
      <c r="J795" s="9" t="str">
        <f t="shared" si="2"/>
        <v/>
      </c>
      <c r="K795" s="7" t="str">
        <f>IFERROR(__xludf.DUMMYFUNCTION("regexreplace(G795, ""_"", """")"),"")</f>
        <v/>
      </c>
      <c r="L795" s="43"/>
      <c r="M795" s="43" t="s">
        <v>3056</v>
      </c>
    </row>
    <row r="796">
      <c r="A796" s="43"/>
      <c r="B796" s="40" t="s">
        <v>2964</v>
      </c>
      <c r="C796" s="40"/>
      <c r="D796" s="40" t="s">
        <v>19</v>
      </c>
      <c r="E796" s="43" t="s">
        <v>3057</v>
      </c>
      <c r="F796" s="44">
        <f t="shared" si="41"/>
        <v>1</v>
      </c>
      <c r="G796" s="43" t="s">
        <v>913</v>
      </c>
      <c r="H796" s="43"/>
      <c r="I796" s="7" t="str">
        <f>IFERROR(__xludf.DUMMYFUNCTION("regexreplace(lower(C796), ""_"", """")"),"")</f>
        <v/>
      </c>
      <c r="J796" s="9" t="str">
        <f t="shared" si="2"/>
        <v/>
      </c>
      <c r="K796" s="7" t="str">
        <f>IFERROR(__xludf.DUMMYFUNCTION("regexreplace(G796, ""_"", """")"),"")</f>
        <v/>
      </c>
      <c r="L796" s="43"/>
      <c r="M796" s="43" t="s">
        <v>3058</v>
      </c>
    </row>
    <row r="797">
      <c r="A797" s="43"/>
      <c r="B797" s="40" t="s">
        <v>2964</v>
      </c>
      <c r="C797" s="40" t="s">
        <v>3059</v>
      </c>
      <c r="D797" s="40" t="s">
        <v>29</v>
      </c>
      <c r="E797" s="43" t="s">
        <v>3060</v>
      </c>
      <c r="F797" s="44">
        <f t="shared" si="41"/>
        <v>2</v>
      </c>
      <c r="G797" s="40" t="s">
        <v>3061</v>
      </c>
      <c r="H797" s="43"/>
      <c r="I797" s="7" t="str">
        <f>IFERROR(__xludf.DUMMYFUNCTION("regexreplace(lower(C797), ""_"", """")"),"mrireaddate")</f>
        <v>mrireaddate</v>
      </c>
      <c r="J797" s="9" t="b">
        <f t="shared" si="2"/>
        <v>1</v>
      </c>
      <c r="K797" s="7" t="str">
        <f>IFERROR(__xludf.DUMMYFUNCTION("regexreplace(G797, ""_"", """")"),"mrireaddate")</f>
        <v>mrireaddate</v>
      </c>
      <c r="L797" s="43" t="s">
        <v>3062</v>
      </c>
      <c r="M797" s="43" t="s">
        <v>3063</v>
      </c>
    </row>
    <row r="798">
      <c r="A798" s="43"/>
      <c r="B798" s="40" t="s">
        <v>2964</v>
      </c>
      <c r="C798" s="40" t="s">
        <v>2985</v>
      </c>
      <c r="D798" s="40" t="s">
        <v>29</v>
      </c>
      <c r="E798" s="43" t="s">
        <v>2986</v>
      </c>
      <c r="F798" s="44">
        <f t="shared" si="41"/>
        <v>2</v>
      </c>
      <c r="G798" s="40" t="s">
        <v>2987</v>
      </c>
      <c r="H798" s="43"/>
      <c r="I798" s="7" t="str">
        <f>IFERROR(__xludf.DUMMYFUNCTION("regexreplace(lower(C798), ""_"", """")"),"mridate")</f>
        <v>mridate</v>
      </c>
      <c r="J798" s="9" t="b">
        <f t="shared" si="2"/>
        <v>1</v>
      </c>
      <c r="K798" s="7" t="str">
        <f>IFERROR(__xludf.DUMMYFUNCTION("regexreplace(G798, ""_"", """")"),"mridate")</f>
        <v>mridate</v>
      </c>
      <c r="L798" s="43" t="s">
        <v>3064</v>
      </c>
      <c r="M798" s="43" t="s">
        <v>3065</v>
      </c>
    </row>
    <row r="799">
      <c r="A799" s="43"/>
      <c r="B799" s="40" t="s">
        <v>2964</v>
      </c>
      <c r="C799" s="40" t="s">
        <v>3066</v>
      </c>
      <c r="D799" s="40" t="s">
        <v>154</v>
      </c>
      <c r="E799" s="43" t="s">
        <v>3067</v>
      </c>
      <c r="F799" s="44">
        <f t="shared" si="41"/>
        <v>2</v>
      </c>
      <c r="G799" s="40" t="s">
        <v>3068</v>
      </c>
      <c r="H799" s="43"/>
      <c r="I799" s="7" t="str">
        <f>IFERROR(__xludf.DUMMYFUNCTION("regexreplace(lower(C799), ""_"", """")"),"mristrengtht")</f>
        <v>mristrengtht</v>
      </c>
      <c r="J799" s="9" t="b">
        <f t="shared" si="2"/>
        <v>1</v>
      </c>
      <c r="K799" s="7" t="str">
        <f>IFERROR(__xludf.DUMMYFUNCTION("regexreplace(G799, ""_"", """")"),"mristrengtht")</f>
        <v>mristrengtht</v>
      </c>
      <c r="L799" s="43" t="s">
        <v>3069</v>
      </c>
      <c r="M799" s="43" t="s">
        <v>3070</v>
      </c>
    </row>
    <row r="800">
      <c r="A800" s="43"/>
      <c r="B800" s="40" t="s">
        <v>2964</v>
      </c>
      <c r="C800" s="40" t="s">
        <v>3071</v>
      </c>
      <c r="D800" s="40" t="s">
        <v>34</v>
      </c>
      <c r="E800" s="43"/>
      <c r="F800" s="44">
        <f t="shared" si="41"/>
        <v>1</v>
      </c>
      <c r="G800" s="40" t="s">
        <v>3072</v>
      </c>
      <c r="H800" s="43"/>
      <c r="I800" s="7" t="str">
        <f>IFERROR(__xludf.DUMMYFUNCTION("regexreplace(lower(C800), ""_"", """")"),"mristrengthc")</f>
        <v>mristrengthc</v>
      </c>
      <c r="J800" s="9" t="b">
        <f t="shared" si="2"/>
        <v>1</v>
      </c>
      <c r="K800" s="7" t="str">
        <f>IFERROR(__xludf.DUMMYFUNCTION("regexreplace(G800, ""_"", """")"),"mristrengthc")</f>
        <v>mristrengthc</v>
      </c>
      <c r="L800" s="43" t="s">
        <v>3073</v>
      </c>
      <c r="M800" s="43"/>
    </row>
    <row r="801">
      <c r="A801" s="43"/>
      <c r="B801" s="40" t="s">
        <v>2964</v>
      </c>
      <c r="C801" s="40" t="s">
        <v>3074</v>
      </c>
      <c r="D801" s="40" t="s">
        <v>43</v>
      </c>
      <c r="E801" s="43" t="s">
        <v>3075</v>
      </c>
      <c r="F801" s="44">
        <f t="shared" si="41"/>
        <v>2</v>
      </c>
      <c r="G801" s="40" t="s">
        <v>3076</v>
      </c>
      <c r="H801" s="43"/>
      <c r="I801" s="7" t="str">
        <f>IFERROR(__xludf.DUMMYFUNCTION("regexreplace(lower(C801), ""_"", """")"),"mriadequatequality")</f>
        <v>mriadequatequality</v>
      </c>
      <c r="J801" s="9" t="b">
        <f t="shared" si="2"/>
        <v>1</v>
      </c>
      <c r="K801" s="7" t="str">
        <f>IFERROR(__xludf.DUMMYFUNCTION("regexreplace(G801, ""_"", """")"),"mriadequatequality")</f>
        <v>mriadequatequality</v>
      </c>
      <c r="L801" s="43" t="s">
        <v>3077</v>
      </c>
      <c r="M801" s="43" t="s">
        <v>3078</v>
      </c>
    </row>
    <row r="802">
      <c r="A802" s="43"/>
      <c r="B802" s="40" t="s">
        <v>2964</v>
      </c>
      <c r="C802" s="40" t="s">
        <v>3079</v>
      </c>
      <c r="D802" s="40" t="s">
        <v>43</v>
      </c>
      <c r="E802" s="43"/>
      <c r="F802" s="44">
        <f t="shared" si="41"/>
        <v>2</v>
      </c>
      <c r="G802" s="40" t="s">
        <v>3080</v>
      </c>
      <c r="H802" s="43"/>
      <c r="I802" s="7" t="str">
        <f>IFERROR(__xludf.DUMMYFUNCTION("regexreplace(lower(C802), ""_"", """")"),"mriadequatequalityc")</f>
        <v>mriadequatequalityc</v>
      </c>
      <c r="J802" s="9" t="b">
        <f t="shared" si="2"/>
        <v>1</v>
      </c>
      <c r="K802" s="7" t="str">
        <f>IFERROR(__xludf.DUMMYFUNCTION("regexreplace(G802, ""_"", """")"),"mriadequatequalityc")</f>
        <v>mriadequatequalityc</v>
      </c>
      <c r="L802" s="43" t="s">
        <v>3081</v>
      </c>
      <c r="M802" s="43" t="s">
        <v>3082</v>
      </c>
    </row>
    <row r="803">
      <c r="A803" s="43"/>
      <c r="B803" s="40" t="s">
        <v>2964</v>
      </c>
      <c r="C803" s="40" t="s">
        <v>3083</v>
      </c>
      <c r="D803" s="40" t="s">
        <v>43</v>
      </c>
      <c r="E803" s="43" t="s">
        <v>3084</v>
      </c>
      <c r="F803" s="44">
        <f t="shared" si="41"/>
        <v>2</v>
      </c>
      <c r="G803" s="40" t="s">
        <v>3085</v>
      </c>
      <c r="H803" s="43"/>
      <c r="I803" s="7" t="str">
        <f>IFERROR(__xludf.DUMMYFUNCTION("regexreplace(lower(C803), ""_"", """")"),"mrit1axial")</f>
        <v>mrit1axial</v>
      </c>
      <c r="J803" s="9" t="b">
        <f t="shared" si="2"/>
        <v>1</v>
      </c>
      <c r="K803" s="7" t="str">
        <f>IFERROR(__xludf.DUMMYFUNCTION("regexreplace(G803, ""_"", """")"),"mrit1axial")</f>
        <v>mrit1axial</v>
      </c>
      <c r="L803" s="43" t="s">
        <v>3086</v>
      </c>
      <c r="M803" s="43" t="s">
        <v>3087</v>
      </c>
    </row>
    <row r="804">
      <c r="A804" s="43"/>
      <c r="B804" s="40" t="s">
        <v>2964</v>
      </c>
      <c r="C804" s="40" t="s">
        <v>3088</v>
      </c>
      <c r="D804" s="40" t="s">
        <v>43</v>
      </c>
      <c r="E804" s="43"/>
      <c r="F804" s="44">
        <f t="shared" si="41"/>
        <v>1</v>
      </c>
      <c r="G804" s="40" t="s">
        <v>3089</v>
      </c>
      <c r="H804" s="43"/>
      <c r="I804" s="7" t="str">
        <f>IFERROR(__xludf.DUMMYFUNCTION("regexreplace(lower(C804), ""_"", """")"),"mrit1axialc")</f>
        <v>mrit1axialc</v>
      </c>
      <c r="J804" s="9" t="b">
        <f t="shared" si="2"/>
        <v>1</v>
      </c>
      <c r="K804" s="7" t="str">
        <f>IFERROR(__xludf.DUMMYFUNCTION("regexreplace(G804, ""_"", """")"),"mrit1axialc")</f>
        <v>mrit1axialc</v>
      </c>
      <c r="L804" s="43" t="s">
        <v>3090</v>
      </c>
      <c r="M804" s="43"/>
    </row>
    <row r="805">
      <c r="A805" s="43"/>
      <c r="B805" s="40" t="s">
        <v>2964</v>
      </c>
      <c r="C805" s="40" t="s">
        <v>3091</v>
      </c>
      <c r="D805" s="40" t="s">
        <v>43</v>
      </c>
      <c r="E805" s="43" t="s">
        <v>3092</v>
      </c>
      <c r="F805" s="44">
        <f t="shared" si="41"/>
        <v>2</v>
      </c>
      <c r="G805" s="40" t="s">
        <v>3093</v>
      </c>
      <c r="H805" s="43"/>
      <c r="I805" s="7" t="str">
        <f>IFERROR(__xludf.DUMMYFUNCTION("regexreplace(lower(C805), ""_"", """")"),"mrit1coronal")</f>
        <v>mrit1coronal</v>
      </c>
      <c r="J805" s="9" t="b">
        <f t="shared" si="2"/>
        <v>1</v>
      </c>
      <c r="K805" s="7" t="str">
        <f>IFERROR(__xludf.DUMMYFUNCTION("regexreplace(G805, ""_"", """")"),"mrit1coronal")</f>
        <v>mrit1coronal</v>
      </c>
      <c r="L805" s="43" t="s">
        <v>3094</v>
      </c>
      <c r="M805" s="43" t="s">
        <v>3095</v>
      </c>
    </row>
    <row r="806">
      <c r="A806" s="43"/>
      <c r="B806" s="40" t="s">
        <v>2964</v>
      </c>
      <c r="C806" s="40" t="s">
        <v>3096</v>
      </c>
      <c r="D806" s="40" t="s">
        <v>43</v>
      </c>
      <c r="E806" s="43"/>
      <c r="F806" s="44">
        <f t="shared" si="41"/>
        <v>1</v>
      </c>
      <c r="G806" s="40" t="s">
        <v>3097</v>
      </c>
      <c r="H806" s="43"/>
      <c r="I806" s="7" t="str">
        <f>IFERROR(__xludf.DUMMYFUNCTION("regexreplace(lower(C806), ""_"", """")"),"mrit1coronalc")</f>
        <v>mrit1coronalc</v>
      </c>
      <c r="J806" s="9" t="b">
        <f t="shared" si="2"/>
        <v>1</v>
      </c>
      <c r="K806" s="7" t="str">
        <f>IFERROR(__xludf.DUMMYFUNCTION("regexreplace(G806, ""_"", """")"),"mrit1coronalc")</f>
        <v>mrit1coronalc</v>
      </c>
      <c r="L806" s="43" t="s">
        <v>3098</v>
      </c>
      <c r="M806" s="43"/>
    </row>
    <row r="807">
      <c r="A807" s="43"/>
      <c r="B807" s="40" t="s">
        <v>2964</v>
      </c>
      <c r="C807" s="40" t="s">
        <v>3099</v>
      </c>
      <c r="D807" s="40" t="s">
        <v>43</v>
      </c>
      <c r="E807" s="43" t="s">
        <v>3100</v>
      </c>
      <c r="F807" s="44">
        <f t="shared" si="41"/>
        <v>2</v>
      </c>
      <c r="G807" s="40" t="s">
        <v>3101</v>
      </c>
      <c r="H807" s="43"/>
      <c r="I807" s="7" t="str">
        <f>IFERROR(__xludf.DUMMYFUNCTION("regexreplace(lower(C807), ""_"", """")"),"mrit1sagittal")</f>
        <v>mrit1sagittal</v>
      </c>
      <c r="J807" s="9" t="b">
        <f t="shared" si="2"/>
        <v>1</v>
      </c>
      <c r="K807" s="7" t="str">
        <f>IFERROR(__xludf.DUMMYFUNCTION("regexreplace(G807, ""_"", """")"),"mrit1sagittal")</f>
        <v>mrit1sagittal</v>
      </c>
      <c r="L807" s="43" t="s">
        <v>3102</v>
      </c>
      <c r="M807" s="43" t="s">
        <v>3103</v>
      </c>
    </row>
    <row r="808">
      <c r="A808" s="43"/>
      <c r="B808" s="40" t="s">
        <v>2964</v>
      </c>
      <c r="C808" s="40" t="s">
        <v>3104</v>
      </c>
      <c r="D808" s="40" t="s">
        <v>43</v>
      </c>
      <c r="E808" s="43"/>
      <c r="F808" s="44">
        <f t="shared" si="41"/>
        <v>1</v>
      </c>
      <c r="G808" s="40" t="s">
        <v>3105</v>
      </c>
      <c r="H808" s="43"/>
      <c r="I808" s="7" t="str">
        <f>IFERROR(__xludf.DUMMYFUNCTION("regexreplace(lower(C808), ""_"", """")"),"mrit1sagittalc")</f>
        <v>mrit1sagittalc</v>
      </c>
      <c r="J808" s="9" t="b">
        <f t="shared" si="2"/>
        <v>1</v>
      </c>
      <c r="K808" s="7" t="str">
        <f>IFERROR(__xludf.DUMMYFUNCTION("regexreplace(G808, ""_"", """")"),"mrit1sagittalc")</f>
        <v>mrit1sagittalc</v>
      </c>
      <c r="L808" s="43" t="s">
        <v>3106</v>
      </c>
      <c r="M808" s="43"/>
    </row>
    <row r="809">
      <c r="A809" s="43"/>
      <c r="B809" s="40" t="s">
        <v>2964</v>
      </c>
      <c r="C809" s="40" t="s">
        <v>3107</v>
      </c>
      <c r="D809" s="40" t="s">
        <v>43</v>
      </c>
      <c r="E809" s="43" t="s">
        <v>3108</v>
      </c>
      <c r="F809" s="44">
        <f t="shared" si="41"/>
        <v>1</v>
      </c>
      <c r="G809" s="40" t="s">
        <v>3109</v>
      </c>
      <c r="H809" s="43"/>
      <c r="I809" s="7" t="str">
        <f>IFERROR(__xludf.DUMMYFUNCTION("regexreplace(lower(C809), ""_"", """")"),"mrit1")</f>
        <v>mrit1</v>
      </c>
      <c r="J809" s="9" t="b">
        <f t="shared" si="2"/>
        <v>1</v>
      </c>
      <c r="K809" s="7" t="str">
        <f>IFERROR(__xludf.DUMMYFUNCTION("regexreplace(G809, ""_"", """")"),"mrit1")</f>
        <v>mrit1</v>
      </c>
      <c r="L809" s="43"/>
      <c r="M809" s="43" t="s">
        <v>3110</v>
      </c>
    </row>
    <row r="810">
      <c r="A810" s="43"/>
      <c r="B810" s="40" t="s">
        <v>2964</v>
      </c>
      <c r="C810" s="40" t="s">
        <v>3111</v>
      </c>
      <c r="D810" s="40" t="s">
        <v>43</v>
      </c>
      <c r="E810" s="43" t="s">
        <v>3112</v>
      </c>
      <c r="F810" s="44">
        <f t="shared" si="41"/>
        <v>2</v>
      </c>
      <c r="G810" s="40" t="s">
        <v>3113</v>
      </c>
      <c r="H810" s="43"/>
      <c r="I810" s="7" t="str">
        <f>IFERROR(__xludf.DUMMYFUNCTION("regexreplace(lower(C810), ""_"", """")"),"mrit2axial")</f>
        <v>mrit2axial</v>
      </c>
      <c r="J810" s="9" t="b">
        <f t="shared" si="2"/>
        <v>1</v>
      </c>
      <c r="K810" s="7" t="str">
        <f>IFERROR(__xludf.DUMMYFUNCTION("regexreplace(G810, ""_"", """")"),"mrit2axial")</f>
        <v>mrit2axial</v>
      </c>
      <c r="L810" s="43" t="s">
        <v>3114</v>
      </c>
      <c r="M810" s="43" t="s">
        <v>3115</v>
      </c>
    </row>
    <row r="811">
      <c r="A811" s="43"/>
      <c r="B811" s="40" t="s">
        <v>2964</v>
      </c>
      <c r="C811" s="40" t="s">
        <v>3116</v>
      </c>
      <c r="D811" s="40" t="s">
        <v>43</v>
      </c>
      <c r="E811" s="43"/>
      <c r="F811" s="44">
        <f t="shared" si="41"/>
        <v>1</v>
      </c>
      <c r="G811" s="40" t="s">
        <v>3117</v>
      </c>
      <c r="H811" s="43"/>
      <c r="I811" s="7" t="str">
        <f>IFERROR(__xludf.DUMMYFUNCTION("regexreplace(lower(C811), ""_"", """")"),"mrit2axialc")</f>
        <v>mrit2axialc</v>
      </c>
      <c r="J811" s="9" t="b">
        <f t="shared" si="2"/>
        <v>1</v>
      </c>
      <c r="K811" s="7" t="str">
        <f>IFERROR(__xludf.DUMMYFUNCTION("regexreplace(G811, ""_"", """")"),"mrit2axialc")</f>
        <v>mrit2axialc</v>
      </c>
      <c r="L811" s="43" t="s">
        <v>3118</v>
      </c>
      <c r="M811" s="43"/>
    </row>
    <row r="812">
      <c r="A812" s="43"/>
      <c r="B812" s="40" t="s">
        <v>2964</v>
      </c>
      <c r="C812" s="40" t="s">
        <v>3119</v>
      </c>
      <c r="D812" s="40" t="s">
        <v>43</v>
      </c>
      <c r="E812" s="43" t="s">
        <v>3120</v>
      </c>
      <c r="F812" s="44">
        <f t="shared" si="41"/>
        <v>2</v>
      </c>
      <c r="G812" s="40" t="s">
        <v>3121</v>
      </c>
      <c r="H812" s="43"/>
      <c r="I812" s="7" t="str">
        <f>IFERROR(__xludf.DUMMYFUNCTION("regexreplace(lower(C812), ""_"", """")"),"mrit2coronal")</f>
        <v>mrit2coronal</v>
      </c>
      <c r="J812" s="9" t="b">
        <f t="shared" si="2"/>
        <v>1</v>
      </c>
      <c r="K812" s="7" t="str">
        <f>IFERROR(__xludf.DUMMYFUNCTION("regexreplace(G812, ""_"", """")"),"mrit2coronal")</f>
        <v>mrit2coronal</v>
      </c>
      <c r="L812" s="43" t="s">
        <v>3122</v>
      </c>
      <c r="M812" s="43" t="s">
        <v>3123</v>
      </c>
    </row>
    <row r="813">
      <c r="A813" s="43"/>
      <c r="B813" s="40" t="s">
        <v>2964</v>
      </c>
      <c r="C813" s="40" t="s">
        <v>3124</v>
      </c>
      <c r="D813" s="40" t="s">
        <v>43</v>
      </c>
      <c r="E813" s="43"/>
      <c r="F813" s="44">
        <f t="shared" si="41"/>
        <v>1</v>
      </c>
      <c r="G813" s="40" t="s">
        <v>3125</v>
      </c>
      <c r="H813" s="43"/>
      <c r="I813" s="7" t="str">
        <f>IFERROR(__xludf.DUMMYFUNCTION("regexreplace(lower(C813), ""_"", """")"),"mrit2coronalc")</f>
        <v>mrit2coronalc</v>
      </c>
      <c r="J813" s="9" t="b">
        <f t="shared" si="2"/>
        <v>1</v>
      </c>
      <c r="K813" s="7" t="str">
        <f>IFERROR(__xludf.DUMMYFUNCTION("regexreplace(G813, ""_"", """")"),"mrit2coronalc")</f>
        <v>mrit2coronalc</v>
      </c>
      <c r="L813" s="43" t="s">
        <v>3126</v>
      </c>
      <c r="M813" s="43"/>
    </row>
    <row r="814">
      <c r="A814" s="43"/>
      <c r="B814" s="40" t="s">
        <v>2964</v>
      </c>
      <c r="C814" s="40" t="s">
        <v>3127</v>
      </c>
      <c r="D814" s="40" t="s">
        <v>43</v>
      </c>
      <c r="E814" s="43" t="s">
        <v>3128</v>
      </c>
      <c r="F814" s="44">
        <f t="shared" si="41"/>
        <v>2</v>
      </c>
      <c r="G814" s="40" t="s">
        <v>3129</v>
      </c>
      <c r="H814" s="43"/>
      <c r="I814" s="7" t="str">
        <f>IFERROR(__xludf.DUMMYFUNCTION("regexreplace(lower(C814), ""_"", """")"),"mrit2sagittal")</f>
        <v>mrit2sagittal</v>
      </c>
      <c r="J814" s="9" t="b">
        <f t="shared" si="2"/>
        <v>1</v>
      </c>
      <c r="K814" s="7" t="str">
        <f>IFERROR(__xludf.DUMMYFUNCTION("regexreplace(G814, ""_"", """")"),"mrit2sagittal")</f>
        <v>mrit2sagittal</v>
      </c>
      <c r="L814" s="43" t="s">
        <v>3130</v>
      </c>
      <c r="M814" s="43" t="s">
        <v>3131</v>
      </c>
    </row>
    <row r="815">
      <c r="A815" s="43"/>
      <c r="B815" s="40" t="s">
        <v>2964</v>
      </c>
      <c r="C815" s="40" t="s">
        <v>3132</v>
      </c>
      <c r="D815" s="40" t="s">
        <v>43</v>
      </c>
      <c r="E815" s="43"/>
      <c r="F815" s="44">
        <f t="shared" si="41"/>
        <v>1</v>
      </c>
      <c r="G815" s="40" t="s">
        <v>3133</v>
      </c>
      <c r="H815" s="43"/>
      <c r="I815" s="7" t="str">
        <f>IFERROR(__xludf.DUMMYFUNCTION("regexreplace(lower(C815), ""_"", """")"),"mrit2sagittalc")</f>
        <v>mrit2sagittalc</v>
      </c>
      <c r="J815" s="9" t="b">
        <f t="shared" si="2"/>
        <v>1</v>
      </c>
      <c r="K815" s="7" t="str">
        <f>IFERROR(__xludf.DUMMYFUNCTION("regexreplace(G815, ""_"", """")"),"mrit2sagittalc")</f>
        <v>mrit2sagittalc</v>
      </c>
      <c r="L815" s="43" t="s">
        <v>3134</v>
      </c>
      <c r="M815" s="43"/>
    </row>
    <row r="816">
      <c r="A816" s="43"/>
      <c r="B816" s="40" t="s">
        <v>2964</v>
      </c>
      <c r="C816" s="40" t="s">
        <v>3135</v>
      </c>
      <c r="D816" s="40" t="s">
        <v>43</v>
      </c>
      <c r="E816" s="43" t="s">
        <v>3136</v>
      </c>
      <c r="F816" s="44">
        <f t="shared" si="41"/>
        <v>1</v>
      </c>
      <c r="G816" s="40" t="s">
        <v>3137</v>
      </c>
      <c r="H816" s="43"/>
      <c r="I816" s="7" t="str">
        <f>IFERROR(__xludf.DUMMYFUNCTION("regexreplace(lower(C816), ""_"", """")"),"mrit2")</f>
        <v>mrit2</v>
      </c>
      <c r="J816" s="9" t="b">
        <f t="shared" si="2"/>
        <v>1</v>
      </c>
      <c r="K816" s="7" t="str">
        <f>IFERROR(__xludf.DUMMYFUNCTION("regexreplace(G816, ""_"", """")"),"mrit2")</f>
        <v>mrit2</v>
      </c>
      <c r="L816" s="43"/>
      <c r="M816" s="43" t="s">
        <v>3138</v>
      </c>
    </row>
    <row r="817">
      <c r="A817" s="43"/>
      <c r="B817" s="40" t="s">
        <v>2964</v>
      </c>
      <c r="C817" s="40" t="s">
        <v>3139</v>
      </c>
      <c r="D817" s="40" t="s">
        <v>43</v>
      </c>
      <c r="E817" s="43" t="s">
        <v>3140</v>
      </c>
      <c r="F817" s="44">
        <f t="shared" si="41"/>
        <v>2</v>
      </c>
      <c r="G817" s="40" t="s">
        <v>3141</v>
      </c>
      <c r="H817" s="43"/>
      <c r="I817" s="7" t="str">
        <f>IFERROR(__xludf.DUMMYFUNCTION("regexreplace(lower(C817), ""_"", """")"),"mrit2flairaxial")</f>
        <v>mrit2flairaxial</v>
      </c>
      <c r="J817" s="9" t="b">
        <f t="shared" si="2"/>
        <v>1</v>
      </c>
      <c r="K817" s="7" t="str">
        <f>IFERROR(__xludf.DUMMYFUNCTION("regexreplace(G817, ""_"", """")"),"mrit2flairaxial")</f>
        <v>mrit2flairaxial</v>
      </c>
      <c r="L817" s="43" t="s">
        <v>3142</v>
      </c>
      <c r="M817" s="43" t="s">
        <v>3143</v>
      </c>
    </row>
    <row r="818">
      <c r="A818" s="43"/>
      <c r="B818" s="40" t="s">
        <v>2964</v>
      </c>
      <c r="C818" s="40" t="s">
        <v>3144</v>
      </c>
      <c r="D818" s="40" t="s">
        <v>43</v>
      </c>
      <c r="E818" s="43"/>
      <c r="F818" s="44">
        <f t="shared" si="41"/>
        <v>1</v>
      </c>
      <c r="G818" s="40" t="s">
        <v>3145</v>
      </c>
      <c r="H818" s="43"/>
      <c r="I818" s="7" t="str">
        <f>IFERROR(__xludf.DUMMYFUNCTION("regexreplace(lower(C818), ""_"", """")"),"mrit2flairaxialc")</f>
        <v>mrit2flairaxialc</v>
      </c>
      <c r="J818" s="9" t="b">
        <f t="shared" si="2"/>
        <v>1</v>
      </c>
      <c r="K818" s="7" t="str">
        <f>IFERROR(__xludf.DUMMYFUNCTION("regexreplace(G818, ""_"", """")"),"mrit2flairaxialc")</f>
        <v>mrit2flairaxialc</v>
      </c>
      <c r="L818" s="43" t="s">
        <v>3146</v>
      </c>
      <c r="M818" s="43"/>
    </row>
    <row r="819">
      <c r="A819" s="43"/>
      <c r="B819" s="40" t="s">
        <v>2964</v>
      </c>
      <c r="C819" s="40" t="s">
        <v>3147</v>
      </c>
      <c r="D819" s="40" t="s">
        <v>43</v>
      </c>
      <c r="E819" s="43" t="s">
        <v>3148</v>
      </c>
      <c r="F819" s="44">
        <f t="shared" si="41"/>
        <v>2</v>
      </c>
      <c r="G819" s="40" t="s">
        <v>3149</v>
      </c>
      <c r="H819" s="43"/>
      <c r="I819" s="7" t="str">
        <f>IFERROR(__xludf.DUMMYFUNCTION("regexreplace(lower(C819), ""_"", """")"),"mrit2flaircoronal")</f>
        <v>mrit2flaircoronal</v>
      </c>
      <c r="J819" s="9" t="b">
        <f t="shared" si="2"/>
        <v>1</v>
      </c>
      <c r="K819" s="7" t="str">
        <f>IFERROR(__xludf.DUMMYFUNCTION("regexreplace(G819, ""_"", """")"),"mrit2flaircoronal")</f>
        <v>mrit2flaircoronal</v>
      </c>
      <c r="L819" s="43" t="s">
        <v>3150</v>
      </c>
      <c r="M819" s="43" t="s">
        <v>3151</v>
      </c>
    </row>
    <row r="820">
      <c r="A820" s="43"/>
      <c r="B820" s="40" t="s">
        <v>2964</v>
      </c>
      <c r="C820" s="40" t="s">
        <v>3152</v>
      </c>
      <c r="D820" s="40" t="s">
        <v>43</v>
      </c>
      <c r="E820" s="43"/>
      <c r="F820" s="44">
        <f t="shared" si="41"/>
        <v>1</v>
      </c>
      <c r="G820" s="40" t="s">
        <v>3153</v>
      </c>
      <c r="H820" s="43"/>
      <c r="I820" s="7" t="str">
        <f>IFERROR(__xludf.DUMMYFUNCTION("regexreplace(lower(C820), ""_"", """")"),"mrit2flaircoronalc")</f>
        <v>mrit2flaircoronalc</v>
      </c>
      <c r="J820" s="9" t="b">
        <f t="shared" si="2"/>
        <v>1</v>
      </c>
      <c r="K820" s="7" t="str">
        <f>IFERROR(__xludf.DUMMYFUNCTION("regexreplace(G820, ""_"", """")"),"mrit2flaircoronalc")</f>
        <v>mrit2flaircoronalc</v>
      </c>
      <c r="L820" s="43" t="s">
        <v>3154</v>
      </c>
      <c r="M820" s="43"/>
    </row>
    <row r="821">
      <c r="A821" s="43"/>
      <c r="B821" s="40" t="s">
        <v>2964</v>
      </c>
      <c r="C821" s="40" t="s">
        <v>3155</v>
      </c>
      <c r="D821" s="40" t="s">
        <v>43</v>
      </c>
      <c r="E821" s="43" t="s">
        <v>3156</v>
      </c>
      <c r="F821" s="44">
        <f t="shared" si="41"/>
        <v>2</v>
      </c>
      <c r="G821" s="40" t="s">
        <v>3157</v>
      </c>
      <c r="H821" s="43"/>
      <c r="I821" s="7" t="str">
        <f>IFERROR(__xludf.DUMMYFUNCTION("regexreplace(lower(C821), ""_"", """")"),"mrit2flairsagittal")</f>
        <v>mrit2flairsagittal</v>
      </c>
      <c r="J821" s="9" t="b">
        <f t="shared" si="2"/>
        <v>1</v>
      </c>
      <c r="K821" s="7" t="str">
        <f>IFERROR(__xludf.DUMMYFUNCTION("regexreplace(G821, ""_"", """")"),"mrit2flairsagittal")</f>
        <v>mrit2flairsagittal</v>
      </c>
      <c r="L821" s="43" t="s">
        <v>3158</v>
      </c>
      <c r="M821" s="43" t="s">
        <v>3159</v>
      </c>
    </row>
    <row r="822">
      <c r="A822" s="43"/>
      <c r="B822" s="40" t="s">
        <v>2964</v>
      </c>
      <c r="C822" s="40" t="s">
        <v>3160</v>
      </c>
      <c r="D822" s="40" t="s">
        <v>43</v>
      </c>
      <c r="E822" s="43"/>
      <c r="F822" s="44">
        <f t="shared" si="41"/>
        <v>1</v>
      </c>
      <c r="G822" s="40" t="s">
        <v>3161</v>
      </c>
      <c r="H822" s="43"/>
      <c r="I822" s="7" t="str">
        <f>IFERROR(__xludf.DUMMYFUNCTION("regexreplace(lower(C822), ""_"", """")"),"mrit2flairsagittalc")</f>
        <v>mrit2flairsagittalc</v>
      </c>
      <c r="J822" s="9" t="b">
        <f t="shared" si="2"/>
        <v>1</v>
      </c>
      <c r="K822" s="7" t="str">
        <f>IFERROR(__xludf.DUMMYFUNCTION("regexreplace(G822, ""_"", """")"),"mrit2flairsagittalc")</f>
        <v>mrit2flairsagittalc</v>
      </c>
      <c r="L822" s="43" t="s">
        <v>3162</v>
      </c>
      <c r="M822" s="43"/>
    </row>
    <row r="823">
      <c r="A823" s="43"/>
      <c r="B823" s="40" t="s">
        <v>2964</v>
      </c>
      <c r="C823" s="40" t="s">
        <v>3163</v>
      </c>
      <c r="D823" s="40" t="s">
        <v>43</v>
      </c>
      <c r="E823" s="43" t="s">
        <v>3164</v>
      </c>
      <c r="F823" s="44">
        <f t="shared" si="41"/>
        <v>1</v>
      </c>
      <c r="G823" s="40" t="s">
        <v>3165</v>
      </c>
      <c r="H823" s="43"/>
      <c r="I823" s="7" t="str">
        <f>IFERROR(__xludf.DUMMYFUNCTION("regexreplace(lower(C823), ""_"", """")"),"mrit2flair")</f>
        <v>mrit2flair</v>
      </c>
      <c r="J823" s="9" t="b">
        <f t="shared" si="2"/>
        <v>1</v>
      </c>
      <c r="K823" s="7" t="str">
        <f>IFERROR(__xludf.DUMMYFUNCTION("regexreplace(G823, ""_"", """")"),"mrit2flair")</f>
        <v>mrit2flair</v>
      </c>
      <c r="L823" s="43"/>
      <c r="M823" s="43" t="s">
        <v>3166</v>
      </c>
    </row>
    <row r="824">
      <c r="A824" s="43"/>
      <c r="B824" s="40" t="s">
        <v>2964</v>
      </c>
      <c r="C824" s="40" t="s">
        <v>3167</v>
      </c>
      <c r="D824" s="40" t="s">
        <v>43</v>
      </c>
      <c r="E824" s="43" t="s">
        <v>3168</v>
      </c>
      <c r="F824" s="44">
        <f t="shared" si="41"/>
        <v>2</v>
      </c>
      <c r="G824" s="40" t="s">
        <v>3169</v>
      </c>
      <c r="H824" s="43"/>
      <c r="I824" s="7" t="str">
        <f>IFERROR(__xludf.DUMMYFUNCTION("regexreplace(lower(C824), ""_"", """")"),"mrigreswiaxial")</f>
        <v>mrigreswiaxial</v>
      </c>
      <c r="J824" s="9" t="b">
        <f t="shared" si="2"/>
        <v>1</v>
      </c>
      <c r="K824" s="7" t="str">
        <f>IFERROR(__xludf.DUMMYFUNCTION("regexreplace(G824, ""_"", """")"),"mrigreswiaxial")</f>
        <v>mrigreswiaxial</v>
      </c>
      <c r="L824" s="43" t="s">
        <v>3170</v>
      </c>
      <c r="M824" s="43" t="s">
        <v>3171</v>
      </c>
    </row>
    <row r="825">
      <c r="A825" s="43"/>
      <c r="B825" s="40" t="s">
        <v>2964</v>
      </c>
      <c r="C825" s="40" t="s">
        <v>3172</v>
      </c>
      <c r="D825" s="40" t="s">
        <v>43</v>
      </c>
      <c r="E825" s="43"/>
      <c r="F825" s="44">
        <f t="shared" si="41"/>
        <v>1</v>
      </c>
      <c r="G825" s="40" t="s">
        <v>3173</v>
      </c>
      <c r="H825" s="43"/>
      <c r="I825" s="7" t="str">
        <f>IFERROR(__xludf.DUMMYFUNCTION("regexreplace(lower(C825), ""_"", """")"),"mrigreswiaxialc")</f>
        <v>mrigreswiaxialc</v>
      </c>
      <c r="J825" s="9" t="b">
        <f t="shared" si="2"/>
        <v>1</v>
      </c>
      <c r="K825" s="7" t="str">
        <f>IFERROR(__xludf.DUMMYFUNCTION("regexreplace(G825, ""_"", """")"),"mrigreswiaxialc")</f>
        <v>mrigreswiaxialc</v>
      </c>
      <c r="L825" s="43" t="s">
        <v>3174</v>
      </c>
      <c r="M825" s="43"/>
    </row>
    <row r="826">
      <c r="A826" s="43"/>
      <c r="B826" s="40" t="s">
        <v>2964</v>
      </c>
      <c r="C826" s="40" t="s">
        <v>3175</v>
      </c>
      <c r="D826" s="40" t="s">
        <v>43</v>
      </c>
      <c r="E826" s="43" t="s">
        <v>3176</v>
      </c>
      <c r="F826" s="44">
        <f t="shared" si="41"/>
        <v>2</v>
      </c>
      <c r="G826" s="40" t="s">
        <v>3177</v>
      </c>
      <c r="H826" s="43"/>
      <c r="I826" s="7" t="str">
        <f>IFERROR(__xludf.DUMMYFUNCTION("regexreplace(lower(C826), ""_"", """")"),"mrigreswicoronal")</f>
        <v>mrigreswicoronal</v>
      </c>
      <c r="J826" s="9" t="b">
        <f t="shared" si="2"/>
        <v>1</v>
      </c>
      <c r="K826" s="7" t="str">
        <f>IFERROR(__xludf.DUMMYFUNCTION("regexreplace(G826, ""_"", """")"),"mrigreswicoronal")</f>
        <v>mrigreswicoronal</v>
      </c>
      <c r="L826" s="43" t="s">
        <v>3178</v>
      </c>
      <c r="M826" s="43" t="s">
        <v>3179</v>
      </c>
    </row>
    <row r="827">
      <c r="A827" s="43"/>
      <c r="B827" s="40" t="s">
        <v>2964</v>
      </c>
      <c r="C827" s="40" t="s">
        <v>3180</v>
      </c>
      <c r="D827" s="40" t="s">
        <v>43</v>
      </c>
      <c r="E827" s="43"/>
      <c r="F827" s="44">
        <f t="shared" si="41"/>
        <v>1</v>
      </c>
      <c r="G827" s="40" t="s">
        <v>3181</v>
      </c>
      <c r="H827" s="43"/>
      <c r="I827" s="7" t="str">
        <f>IFERROR(__xludf.DUMMYFUNCTION("regexreplace(lower(C827), ""_"", """")"),"mrigreswicoronalc")</f>
        <v>mrigreswicoronalc</v>
      </c>
      <c r="J827" s="9" t="b">
        <f t="shared" si="2"/>
        <v>1</v>
      </c>
      <c r="K827" s="7" t="str">
        <f>IFERROR(__xludf.DUMMYFUNCTION("regexreplace(G827, ""_"", """")"),"mrigreswicoronalc")</f>
        <v>mrigreswicoronalc</v>
      </c>
      <c r="L827" s="43" t="s">
        <v>3182</v>
      </c>
      <c r="M827" s="43"/>
    </row>
    <row r="828">
      <c r="A828" s="43"/>
      <c r="B828" s="40" t="s">
        <v>2964</v>
      </c>
      <c r="C828" s="40" t="s">
        <v>3183</v>
      </c>
      <c r="D828" s="40" t="s">
        <v>43</v>
      </c>
      <c r="E828" s="43" t="s">
        <v>3184</v>
      </c>
      <c r="F828" s="44">
        <f t="shared" si="41"/>
        <v>2</v>
      </c>
      <c r="G828" s="40" t="s">
        <v>3185</v>
      </c>
      <c r="H828" s="43"/>
      <c r="I828" s="7" t="str">
        <f>IFERROR(__xludf.DUMMYFUNCTION("regexreplace(lower(C828), ""_"", """")"),"mrigreswisagittal")</f>
        <v>mrigreswisagittal</v>
      </c>
      <c r="J828" s="9" t="b">
        <f t="shared" si="2"/>
        <v>1</v>
      </c>
      <c r="K828" s="7" t="str">
        <f>IFERROR(__xludf.DUMMYFUNCTION("regexreplace(G828, ""_"", """")"),"mrigreswisagittal")</f>
        <v>mrigreswisagittal</v>
      </c>
      <c r="L828" s="43" t="s">
        <v>3186</v>
      </c>
      <c r="M828" s="43" t="s">
        <v>3187</v>
      </c>
    </row>
    <row r="829">
      <c r="A829" s="43"/>
      <c r="B829" s="40" t="s">
        <v>2964</v>
      </c>
      <c r="C829" s="40" t="s">
        <v>3188</v>
      </c>
      <c r="D829" s="40" t="s">
        <v>43</v>
      </c>
      <c r="E829" s="43"/>
      <c r="F829" s="44">
        <f t="shared" si="41"/>
        <v>1</v>
      </c>
      <c r="G829" s="40" t="s">
        <v>3189</v>
      </c>
      <c r="H829" s="43"/>
      <c r="I829" s="7" t="str">
        <f>IFERROR(__xludf.DUMMYFUNCTION("regexreplace(lower(C829), ""_"", """")"),"mrigreswisagittalc")</f>
        <v>mrigreswisagittalc</v>
      </c>
      <c r="J829" s="9" t="b">
        <f t="shared" si="2"/>
        <v>1</v>
      </c>
      <c r="K829" s="7" t="str">
        <f>IFERROR(__xludf.DUMMYFUNCTION("regexreplace(G829, ""_"", """")"),"mrigreswisagittalc")</f>
        <v>mrigreswisagittalc</v>
      </c>
      <c r="L829" s="43" t="s">
        <v>3190</v>
      </c>
      <c r="M829" s="43"/>
    </row>
    <row r="830">
      <c r="A830" s="43"/>
      <c r="B830" s="40" t="s">
        <v>2964</v>
      </c>
      <c r="C830" s="40" t="s">
        <v>3191</v>
      </c>
      <c r="D830" s="40" t="s">
        <v>43</v>
      </c>
      <c r="E830" s="43" t="s">
        <v>3192</v>
      </c>
      <c r="F830" s="44">
        <f t="shared" si="41"/>
        <v>1</v>
      </c>
      <c r="G830" s="40" t="s">
        <v>3193</v>
      </c>
      <c r="H830" s="43"/>
      <c r="I830" s="7" t="str">
        <f>IFERROR(__xludf.DUMMYFUNCTION("regexreplace(lower(C830), ""_"", """")"),"mrigreswi")</f>
        <v>mrigreswi</v>
      </c>
      <c r="J830" s="9" t="b">
        <f t="shared" si="2"/>
        <v>1</v>
      </c>
      <c r="K830" s="7" t="str">
        <f>IFERROR(__xludf.DUMMYFUNCTION("regexreplace(G830, ""_"", """")"),"mrigreswi")</f>
        <v>mrigreswi</v>
      </c>
      <c r="L830" s="43"/>
      <c r="M830" s="43" t="s">
        <v>3194</v>
      </c>
    </row>
    <row r="831">
      <c r="A831" s="43"/>
      <c r="B831" s="40" t="s">
        <v>2964</v>
      </c>
      <c r="C831" s="40" t="s">
        <v>3195</v>
      </c>
      <c r="D831" s="40" t="s">
        <v>43</v>
      </c>
      <c r="E831" s="43" t="s">
        <v>3196</v>
      </c>
      <c r="F831" s="44">
        <f t="shared" si="41"/>
        <v>2</v>
      </c>
      <c r="G831" s="40" t="s">
        <v>3197</v>
      </c>
      <c r="H831" s="43"/>
      <c r="I831" s="7" t="str">
        <f>IFERROR(__xludf.DUMMYFUNCTION("regexreplace(lower(C831), ""_"", """")"),"mrispgraxial")</f>
        <v>mrispgraxial</v>
      </c>
      <c r="J831" s="9" t="b">
        <f t="shared" si="2"/>
        <v>1</v>
      </c>
      <c r="K831" s="7" t="str">
        <f>IFERROR(__xludf.DUMMYFUNCTION("regexreplace(G831, ""_"", """")"),"mrispgraxial")</f>
        <v>mrispgraxial</v>
      </c>
      <c r="L831" s="43" t="s">
        <v>3198</v>
      </c>
      <c r="M831" s="43" t="s">
        <v>3199</v>
      </c>
    </row>
    <row r="832">
      <c r="A832" s="43"/>
      <c r="B832" s="40" t="s">
        <v>2964</v>
      </c>
      <c r="C832" s="40" t="s">
        <v>3200</v>
      </c>
      <c r="D832" s="40" t="s">
        <v>43</v>
      </c>
      <c r="E832" s="43"/>
      <c r="F832" s="44">
        <f t="shared" si="41"/>
        <v>1</v>
      </c>
      <c r="G832" s="40" t="s">
        <v>3201</v>
      </c>
      <c r="H832" s="43"/>
      <c r="I832" s="7" t="str">
        <f>IFERROR(__xludf.DUMMYFUNCTION("regexreplace(lower(C832), ""_"", """")"),"mrispgraxialc")</f>
        <v>mrispgraxialc</v>
      </c>
      <c r="J832" s="9" t="b">
        <f t="shared" si="2"/>
        <v>1</v>
      </c>
      <c r="K832" s="7" t="str">
        <f>IFERROR(__xludf.DUMMYFUNCTION("regexreplace(G832, ""_"", """")"),"mrispgraxialc")</f>
        <v>mrispgraxialc</v>
      </c>
      <c r="L832" s="43" t="s">
        <v>3202</v>
      </c>
      <c r="M832" s="43"/>
    </row>
    <row r="833">
      <c r="A833" s="43"/>
      <c r="B833" s="40" t="s">
        <v>2964</v>
      </c>
      <c r="C833" s="40" t="s">
        <v>3203</v>
      </c>
      <c r="D833" s="40" t="s">
        <v>43</v>
      </c>
      <c r="E833" s="43" t="s">
        <v>3204</v>
      </c>
      <c r="F833" s="44">
        <f t="shared" si="41"/>
        <v>2</v>
      </c>
      <c r="G833" s="40" t="s">
        <v>3205</v>
      </c>
      <c r="H833" s="43"/>
      <c r="I833" s="7" t="str">
        <f>IFERROR(__xludf.DUMMYFUNCTION("regexreplace(lower(C833), ""_"", """")"),"mrispgrcoronal")</f>
        <v>mrispgrcoronal</v>
      </c>
      <c r="J833" s="9" t="b">
        <f t="shared" si="2"/>
        <v>1</v>
      </c>
      <c r="K833" s="7" t="str">
        <f>IFERROR(__xludf.DUMMYFUNCTION("regexreplace(G833, ""_"", """")"),"mrispgrcoronal")</f>
        <v>mrispgrcoronal</v>
      </c>
      <c r="L833" s="43" t="s">
        <v>3206</v>
      </c>
      <c r="M833" s="43" t="s">
        <v>3207</v>
      </c>
    </row>
    <row r="834">
      <c r="A834" s="43"/>
      <c r="B834" s="40" t="s">
        <v>2964</v>
      </c>
      <c r="C834" s="40" t="s">
        <v>3208</v>
      </c>
      <c r="D834" s="40" t="s">
        <v>43</v>
      </c>
      <c r="E834" s="43"/>
      <c r="F834" s="44">
        <f t="shared" si="41"/>
        <v>1</v>
      </c>
      <c r="G834" s="40" t="s">
        <v>3209</v>
      </c>
      <c r="H834" s="43"/>
      <c r="I834" s="7" t="str">
        <f>IFERROR(__xludf.DUMMYFUNCTION("regexreplace(lower(C834), ""_"", """")"),"mrispgrcoronalc")</f>
        <v>mrispgrcoronalc</v>
      </c>
      <c r="J834" s="9" t="b">
        <f t="shared" si="2"/>
        <v>1</v>
      </c>
      <c r="K834" s="7" t="str">
        <f>IFERROR(__xludf.DUMMYFUNCTION("regexreplace(G834, ""_"", """")"),"mrispgrcoronalc")</f>
        <v>mrispgrcoronalc</v>
      </c>
      <c r="L834" s="43" t="s">
        <v>3210</v>
      </c>
      <c r="M834" s="43"/>
    </row>
    <row r="835">
      <c r="A835" s="43"/>
      <c r="B835" s="40" t="s">
        <v>2964</v>
      </c>
      <c r="C835" s="40" t="s">
        <v>3211</v>
      </c>
      <c r="D835" s="40" t="s">
        <v>43</v>
      </c>
      <c r="E835" s="43" t="s">
        <v>3212</v>
      </c>
      <c r="F835" s="44">
        <f t="shared" si="41"/>
        <v>2</v>
      </c>
      <c r="G835" s="40" t="s">
        <v>3213</v>
      </c>
      <c r="H835" s="43"/>
      <c r="I835" s="7" t="str">
        <f>IFERROR(__xludf.DUMMYFUNCTION("regexreplace(lower(C835), ""_"", """")"),"mrispgrsagittal")</f>
        <v>mrispgrsagittal</v>
      </c>
      <c r="J835" s="9" t="b">
        <f t="shared" si="2"/>
        <v>1</v>
      </c>
      <c r="K835" s="7" t="str">
        <f>IFERROR(__xludf.DUMMYFUNCTION("regexreplace(G835, ""_"", """")"),"mrispgrsagittal")</f>
        <v>mrispgrsagittal</v>
      </c>
      <c r="L835" s="43" t="s">
        <v>3214</v>
      </c>
      <c r="M835" s="43" t="s">
        <v>3215</v>
      </c>
    </row>
    <row r="836">
      <c r="A836" s="43"/>
      <c r="B836" s="40" t="s">
        <v>2964</v>
      </c>
      <c r="C836" s="40" t="s">
        <v>3216</v>
      </c>
      <c r="D836" s="40" t="s">
        <v>43</v>
      </c>
      <c r="E836" s="43"/>
      <c r="F836" s="44">
        <f t="shared" si="41"/>
        <v>1</v>
      </c>
      <c r="G836" s="40" t="s">
        <v>3217</v>
      </c>
      <c r="H836" s="43"/>
      <c r="I836" s="7" t="str">
        <f>IFERROR(__xludf.DUMMYFUNCTION("regexreplace(lower(C836), ""_"", """")"),"mrispgrsagittalc")</f>
        <v>mrispgrsagittalc</v>
      </c>
      <c r="J836" s="9" t="b">
        <f t="shared" si="2"/>
        <v>1</v>
      </c>
      <c r="K836" s="7" t="str">
        <f>IFERROR(__xludf.DUMMYFUNCTION("regexreplace(G836, ""_"", """")"),"mrispgrsagittalc")</f>
        <v>mrispgrsagittalc</v>
      </c>
      <c r="L836" s="43" t="s">
        <v>3218</v>
      </c>
      <c r="M836" s="43"/>
    </row>
    <row r="837">
      <c r="A837" s="43"/>
      <c r="B837" s="40" t="s">
        <v>2964</v>
      </c>
      <c r="C837" s="40" t="s">
        <v>3219</v>
      </c>
      <c r="D837" s="40" t="s">
        <v>43</v>
      </c>
      <c r="E837" s="43" t="s">
        <v>3220</v>
      </c>
      <c r="F837" s="44">
        <f t="shared" si="41"/>
        <v>1</v>
      </c>
      <c r="G837" s="40" t="s">
        <v>3221</v>
      </c>
      <c r="H837" s="43"/>
      <c r="I837" s="7" t="str">
        <f>IFERROR(__xludf.DUMMYFUNCTION("regexreplace(lower(C837), ""_"", """")"),"mrispgr")</f>
        <v>mrispgr</v>
      </c>
      <c r="J837" s="9" t="b">
        <f t="shared" si="2"/>
        <v>1</v>
      </c>
      <c r="K837" s="7" t="str">
        <f>IFERROR(__xludf.DUMMYFUNCTION("regexreplace(G837, ""_"", """")"),"mrispgr")</f>
        <v>mrispgr</v>
      </c>
      <c r="L837" s="43"/>
      <c r="M837" s="43" t="s">
        <v>3222</v>
      </c>
    </row>
    <row r="838">
      <c r="A838" s="43"/>
      <c r="B838" s="40" t="s">
        <v>2964</v>
      </c>
      <c r="C838" s="40" t="s">
        <v>3223</v>
      </c>
      <c r="D838" s="40" t="s">
        <v>43</v>
      </c>
      <c r="E838" s="43" t="s">
        <v>3224</v>
      </c>
      <c r="F838" s="44">
        <f t="shared" si="41"/>
        <v>2</v>
      </c>
      <c r="G838" s="40" t="s">
        <v>3225</v>
      </c>
      <c r="H838" s="43"/>
      <c r="I838" s="7" t="str">
        <f>IFERROR(__xludf.DUMMYFUNCTION("regexreplace(lower(C838), ""_"", """")"),"mridwi")</f>
        <v>mridwi</v>
      </c>
      <c r="J838" s="9" t="b">
        <f t="shared" si="2"/>
        <v>1</v>
      </c>
      <c r="K838" s="7" t="str">
        <f>IFERROR(__xludf.DUMMYFUNCTION("regexreplace(G838, ""_"", """")"),"mridwi")</f>
        <v>mridwi</v>
      </c>
      <c r="L838" s="43" t="s">
        <v>3226</v>
      </c>
      <c r="M838" s="43" t="s">
        <v>3227</v>
      </c>
    </row>
    <row r="839">
      <c r="A839" s="43"/>
      <c r="B839" s="40" t="s">
        <v>2964</v>
      </c>
      <c r="C839" s="40" t="s">
        <v>3228</v>
      </c>
      <c r="D839" s="40" t="s">
        <v>43</v>
      </c>
      <c r="E839" s="43"/>
      <c r="F839" s="44">
        <f t="shared" si="41"/>
        <v>2</v>
      </c>
      <c r="G839" s="40" t="s">
        <v>3229</v>
      </c>
      <c r="H839" s="43"/>
      <c r="I839" s="7" t="str">
        <f>IFERROR(__xludf.DUMMYFUNCTION("regexreplace(lower(C839), ""_"", """")"),"mridwic")</f>
        <v>mridwic</v>
      </c>
      <c r="J839" s="9" t="b">
        <f t="shared" si="2"/>
        <v>1</v>
      </c>
      <c r="K839" s="7" t="str">
        <f>IFERROR(__xludf.DUMMYFUNCTION("regexreplace(G839, ""_"", """")"),"mridwic")</f>
        <v>mridwic</v>
      </c>
      <c r="L839" s="43" t="s">
        <v>3230</v>
      </c>
      <c r="M839" s="43" t="s">
        <v>3231</v>
      </c>
    </row>
    <row r="840">
      <c r="A840" s="43"/>
      <c r="B840" s="40" t="s">
        <v>2964</v>
      </c>
      <c r="C840" s="40" t="s">
        <v>3232</v>
      </c>
      <c r="D840" s="40" t="s">
        <v>43</v>
      </c>
      <c r="E840" s="43" t="s">
        <v>3233</v>
      </c>
      <c r="F840" s="44">
        <f t="shared" si="41"/>
        <v>2</v>
      </c>
      <c r="G840" s="40" t="s">
        <v>3234</v>
      </c>
      <c r="H840" s="43"/>
      <c r="I840" s="7" t="str">
        <f>IFERROR(__xludf.DUMMYFUNCTION("regexreplace(lower(C840), ""_"", """")"),"mriadc")</f>
        <v>mriadc</v>
      </c>
      <c r="J840" s="9" t="b">
        <f t="shared" si="2"/>
        <v>1</v>
      </c>
      <c r="K840" s="7" t="str">
        <f>IFERROR(__xludf.DUMMYFUNCTION("regexreplace(G840, ""_"", """")"),"mriadc")</f>
        <v>mriadc</v>
      </c>
      <c r="L840" s="43" t="s">
        <v>3235</v>
      </c>
      <c r="M840" s="43" t="s">
        <v>3236</v>
      </c>
    </row>
    <row r="841">
      <c r="A841" s="43"/>
      <c r="B841" s="40" t="s">
        <v>2964</v>
      </c>
      <c r="C841" s="40" t="s">
        <v>3237</v>
      </c>
      <c r="D841" s="40" t="s">
        <v>43</v>
      </c>
      <c r="E841" s="43"/>
      <c r="F841" s="44">
        <f t="shared" si="41"/>
        <v>2</v>
      </c>
      <c r="G841" s="40" t="s">
        <v>3238</v>
      </c>
      <c r="H841" s="43"/>
      <c r="I841" s="7" t="str">
        <f>IFERROR(__xludf.DUMMYFUNCTION("regexreplace(lower(C841), ""_"", """")"),"mriadcc")</f>
        <v>mriadcc</v>
      </c>
      <c r="J841" s="9" t="b">
        <f t="shared" si="2"/>
        <v>1</v>
      </c>
      <c r="K841" s="7" t="str">
        <f>IFERROR(__xludf.DUMMYFUNCTION("regexreplace(G841, ""_"", """")"),"mriadcc")</f>
        <v>mriadcc</v>
      </c>
      <c r="L841" s="43" t="s">
        <v>3239</v>
      </c>
      <c r="M841" s="43" t="s">
        <v>3240</v>
      </c>
    </row>
    <row r="842">
      <c r="A842" s="43"/>
      <c r="B842" s="40" t="s">
        <v>2964</v>
      </c>
      <c r="C842" s="40" t="s">
        <v>3241</v>
      </c>
      <c r="D842" s="40" t="s">
        <v>43</v>
      </c>
      <c r="E842" s="43" t="s">
        <v>3242</v>
      </c>
      <c r="F842" s="44">
        <f t="shared" si="41"/>
        <v>1</v>
      </c>
      <c r="G842" s="40" t="s">
        <v>3243</v>
      </c>
      <c r="H842" s="43"/>
      <c r="I842" s="7" t="str">
        <f>IFERROR(__xludf.DUMMYFUNCTION("regexreplace(lower(C842), ""_"", """")"),"mrimrs")</f>
        <v>mrimrs</v>
      </c>
      <c r="J842" s="9" t="b">
        <f t="shared" si="2"/>
        <v>1</v>
      </c>
      <c r="K842" s="7" t="str">
        <f>IFERROR(__xludf.DUMMYFUNCTION("regexreplace(G842, ""_"", """")"),"mrimrs")</f>
        <v>mrimrs</v>
      </c>
      <c r="L842" s="43"/>
      <c r="M842" s="43" t="s">
        <v>3244</v>
      </c>
    </row>
    <row r="843">
      <c r="A843" s="43"/>
      <c r="B843" s="40" t="s">
        <v>2964</v>
      </c>
      <c r="C843" s="40" t="s">
        <v>3245</v>
      </c>
      <c r="D843" s="40" t="s">
        <v>43</v>
      </c>
      <c r="E843" s="43"/>
      <c r="F843" s="44">
        <f t="shared" si="41"/>
        <v>1</v>
      </c>
      <c r="G843" s="40" t="s">
        <v>3246</v>
      </c>
      <c r="H843" s="43"/>
      <c r="I843" s="7" t="str">
        <f>IFERROR(__xludf.DUMMYFUNCTION("regexreplace(lower(C843), ""_"", """")"),"mrimrsc")</f>
        <v>mrimrsc</v>
      </c>
      <c r="J843" s="9" t="b">
        <f t="shared" si="2"/>
        <v>1</v>
      </c>
      <c r="K843" s="7" t="str">
        <f>IFERROR(__xludf.DUMMYFUNCTION("regexreplace(G843, ""_"", """")"),"mrimrsc")</f>
        <v>mrimrsc</v>
      </c>
      <c r="L843" s="43"/>
      <c r="M843" s="43" t="s">
        <v>3247</v>
      </c>
    </row>
    <row r="844">
      <c r="A844" s="43"/>
      <c r="B844" s="40" t="s">
        <v>2964</v>
      </c>
      <c r="C844" s="40" t="s">
        <v>3248</v>
      </c>
      <c r="D844" s="40" t="s">
        <v>43</v>
      </c>
      <c r="E844" s="43" t="s">
        <v>2671</v>
      </c>
      <c r="F844" s="44">
        <f t="shared" si="41"/>
        <v>2</v>
      </c>
      <c r="G844" s="40" t="s">
        <v>3249</v>
      </c>
      <c r="H844" s="43"/>
      <c r="I844" s="7" t="str">
        <f>IFERROR(__xludf.DUMMYFUNCTION("regexreplace(lower(C844), ""_"", """")"),"mriother")</f>
        <v>mriother</v>
      </c>
      <c r="J844" s="9" t="b">
        <f t="shared" si="2"/>
        <v>1</v>
      </c>
      <c r="K844" s="7" t="str">
        <f>IFERROR(__xludf.DUMMYFUNCTION("regexreplace(G844, ""_"", """")"),"mriother")</f>
        <v>mriother</v>
      </c>
      <c r="L844" s="43" t="s">
        <v>3250</v>
      </c>
      <c r="M844" s="43" t="s">
        <v>3251</v>
      </c>
    </row>
    <row r="845">
      <c r="A845" s="43"/>
      <c r="B845" s="40" t="s">
        <v>2964</v>
      </c>
      <c r="C845" s="40" t="s">
        <v>3252</v>
      </c>
      <c r="D845" s="40" t="s">
        <v>43</v>
      </c>
      <c r="E845" s="43"/>
      <c r="F845" s="44">
        <f t="shared" si="41"/>
        <v>2</v>
      </c>
      <c r="G845" s="40" t="s">
        <v>3253</v>
      </c>
      <c r="H845" s="43"/>
      <c r="I845" s="7" t="str">
        <f>IFERROR(__xludf.DUMMYFUNCTION("regexreplace(lower(C845), ""_"", """")"),"mriotherc")</f>
        <v>mriotherc</v>
      </c>
      <c r="J845" s="9" t="b">
        <f t="shared" si="2"/>
        <v>1</v>
      </c>
      <c r="K845" s="7" t="str">
        <f>IFERROR(__xludf.DUMMYFUNCTION("regexreplace(G845, ""_"", """")"),"mriotherc")</f>
        <v>mriotherc</v>
      </c>
      <c r="L845" s="43" t="s">
        <v>3254</v>
      </c>
      <c r="M845" s="43" t="s">
        <v>3255</v>
      </c>
    </row>
    <row r="846">
      <c r="A846" s="43"/>
      <c r="B846" s="40" t="s">
        <v>2964</v>
      </c>
      <c r="C846" s="40" t="s">
        <v>3256</v>
      </c>
      <c r="D846" s="40" t="s">
        <v>19</v>
      </c>
      <c r="E846" s="43" t="s">
        <v>3257</v>
      </c>
      <c r="F846" s="44">
        <f t="shared" si="41"/>
        <v>2</v>
      </c>
      <c r="G846" s="40" t="s">
        <v>3258</v>
      </c>
      <c r="H846" s="43"/>
      <c r="I846" s="7" t="str">
        <f>IFERROR(__xludf.DUMMYFUNCTION("regexreplace(lower(C846), ""_"", """")"),"mriothertext")</f>
        <v>mriothertext</v>
      </c>
      <c r="J846" s="9" t="b">
        <f t="shared" si="2"/>
        <v>1</v>
      </c>
      <c r="K846" s="7" t="str">
        <f>IFERROR(__xludf.DUMMYFUNCTION("regexreplace(G846, ""_"", """")"),"mriothertext")</f>
        <v>mriothertext</v>
      </c>
      <c r="L846" s="43" t="s">
        <v>3259</v>
      </c>
      <c r="M846" s="43" t="s">
        <v>3260</v>
      </c>
    </row>
    <row r="847">
      <c r="A847" s="43"/>
      <c r="B847" s="40" t="s">
        <v>2964</v>
      </c>
      <c r="C847" s="40" t="s">
        <v>3261</v>
      </c>
      <c r="D847" s="40" t="s">
        <v>3261</v>
      </c>
      <c r="E847" s="43" t="s">
        <v>3262</v>
      </c>
      <c r="F847" s="44">
        <f t="shared" si="41"/>
        <v>2</v>
      </c>
      <c r="G847" s="40" t="s">
        <v>3263</v>
      </c>
      <c r="H847" s="43"/>
      <c r="I847" s="7" t="str">
        <f>IFERROR(__xludf.DUMMYFUNCTION("regexreplace(lower(C847), ""_"", """")"),"mrioveralldiagnosis")</f>
        <v>mrioveralldiagnosis</v>
      </c>
      <c r="J847" s="9" t="b">
        <f t="shared" si="2"/>
        <v>1</v>
      </c>
      <c r="K847" s="7" t="str">
        <f>IFERROR(__xludf.DUMMYFUNCTION("regexreplace(G847, ""_"", """")"),"mrioveralldiagnosis")</f>
        <v>mrioveralldiagnosis</v>
      </c>
      <c r="L847" s="43" t="s">
        <v>3264</v>
      </c>
      <c r="M847" s="43" t="s">
        <v>3265</v>
      </c>
    </row>
    <row r="848">
      <c r="A848" s="43"/>
      <c r="B848" s="40" t="s">
        <v>2964</v>
      </c>
      <c r="C848" s="40" t="s">
        <v>3266</v>
      </c>
      <c r="D848" s="40" t="s">
        <v>34</v>
      </c>
      <c r="E848" s="43"/>
      <c r="F848" s="44">
        <f t="shared" si="41"/>
        <v>2</v>
      </c>
      <c r="G848" s="40" t="s">
        <v>3267</v>
      </c>
      <c r="H848" s="43"/>
      <c r="I848" s="7" t="str">
        <f>IFERROR(__xludf.DUMMYFUNCTION("regexreplace(lower(C848), ""_"", """")"),"mrioveralldiagnosisc")</f>
        <v>mrioveralldiagnosisc</v>
      </c>
      <c r="J848" s="9" t="b">
        <f t="shared" si="2"/>
        <v>1</v>
      </c>
      <c r="K848" s="7" t="str">
        <f>IFERROR(__xludf.DUMMYFUNCTION("regexreplace(G848, ""_"", """")"),"mrioveralldiagnosisc")</f>
        <v>mrioveralldiagnosisc</v>
      </c>
      <c r="L848" s="43" t="s">
        <v>3268</v>
      </c>
      <c r="M848" s="43" t="s">
        <v>3269</v>
      </c>
    </row>
    <row r="849">
      <c r="A849" s="43"/>
      <c r="B849" s="40" t="s">
        <v>2964</v>
      </c>
      <c r="C849" s="40" t="s">
        <v>3270</v>
      </c>
      <c r="D849" s="40" t="s">
        <v>19</v>
      </c>
      <c r="E849" s="43" t="s">
        <v>3271</v>
      </c>
      <c r="F849" s="44">
        <f t="shared" si="41"/>
        <v>1</v>
      </c>
      <c r="G849" s="40" t="s">
        <v>3272</v>
      </c>
      <c r="H849" s="43"/>
      <c r="I849" s="7" t="str">
        <f>IFERROR(__xludf.DUMMYFUNCTION("regexreplace(lower(C849), ""_"", """")"),"mrioveralldiagnosistext")</f>
        <v>mrioveralldiagnosistext</v>
      </c>
      <c r="J849" s="9" t="b">
        <f t="shared" si="2"/>
        <v>1</v>
      </c>
      <c r="K849" s="7" t="str">
        <f>IFERROR(__xludf.DUMMYFUNCTION("regexreplace(G849, ""_"", """")"),"mrioveralldiagnosistext")</f>
        <v>mrioveralldiagnosistext</v>
      </c>
      <c r="L849" s="43" t="s">
        <v>3273</v>
      </c>
      <c r="M849" s="43"/>
    </row>
    <row r="850">
      <c r="A850" s="12"/>
      <c r="B850" s="12"/>
      <c r="C850" s="13"/>
      <c r="D850" s="12"/>
      <c r="E850" s="12" t="s">
        <v>3274</v>
      </c>
      <c r="F850" s="12"/>
      <c r="G850" s="12"/>
      <c r="H850" s="12"/>
      <c r="I850" s="7" t="str">
        <f>IFERROR(__xludf.DUMMYFUNCTION("regexreplace(lower(C850), ""_"", """")"),"")</f>
        <v/>
      </c>
      <c r="J850" s="9" t="str">
        <f t="shared" si="2"/>
        <v/>
      </c>
      <c r="K850" s="7" t="str">
        <f>IFERROR(__xludf.DUMMYFUNCTION("regexreplace(G850, ""_"", """")"),"")</f>
        <v/>
      </c>
      <c r="L850" s="12"/>
      <c r="M850" s="12"/>
    </row>
    <row r="851">
      <c r="A851" s="43"/>
      <c r="B851" s="40" t="s">
        <v>2964</v>
      </c>
      <c r="C851" s="40" t="s">
        <v>3275</v>
      </c>
      <c r="D851" s="40" t="s">
        <v>43</v>
      </c>
      <c r="E851" s="43" t="s">
        <v>3276</v>
      </c>
      <c r="F851" s="44">
        <f t="shared" ref="F851:F885" si="42">counta(L851:M851)</f>
        <v>2</v>
      </c>
      <c r="G851" s="40" t="s">
        <v>3277</v>
      </c>
      <c r="H851" s="40"/>
      <c r="I851" s="7" t="str">
        <f>IFERROR(__xludf.DUMMYFUNCTION("regexreplace(lower(C851), ""_"", """")"),"mriabnormal")</f>
        <v>mriabnormal</v>
      </c>
      <c r="J851" s="9" t="b">
        <f t="shared" si="2"/>
        <v>1</v>
      </c>
      <c r="K851" s="7" t="str">
        <f>IFERROR(__xludf.DUMMYFUNCTION("regexreplace(G851, ""_"", """")"),"mriabnormal")</f>
        <v>mriabnormal</v>
      </c>
      <c r="L851" s="43" t="s">
        <v>3278</v>
      </c>
      <c r="M851" s="43" t="s">
        <v>3279</v>
      </c>
    </row>
    <row r="852">
      <c r="A852" s="43"/>
      <c r="B852" s="40" t="s">
        <v>2964</v>
      </c>
      <c r="C852" s="40" t="s">
        <v>3280</v>
      </c>
      <c r="D852" s="40" t="s">
        <v>43</v>
      </c>
      <c r="E852" s="43"/>
      <c r="F852" s="44">
        <f t="shared" si="42"/>
        <v>2</v>
      </c>
      <c r="G852" s="40" t="s">
        <v>3281</v>
      </c>
      <c r="H852" s="43"/>
      <c r="I852" s="7" t="str">
        <f>IFERROR(__xludf.DUMMYFUNCTION("regexreplace(lower(C852), ""_"", """")"),"mriabnormalc")</f>
        <v>mriabnormalc</v>
      </c>
      <c r="J852" s="9" t="b">
        <f t="shared" si="2"/>
        <v>1</v>
      </c>
      <c r="K852" s="7" t="str">
        <f>IFERROR(__xludf.DUMMYFUNCTION("regexreplace(G852, ""_"", """")"),"mriabnormalc")</f>
        <v>mriabnormalc</v>
      </c>
      <c r="L852" s="43" t="s">
        <v>3282</v>
      </c>
      <c r="M852" s="43" t="s">
        <v>3283</v>
      </c>
    </row>
    <row r="853">
      <c r="A853" s="43"/>
      <c r="B853" s="40" t="s">
        <v>2964</v>
      </c>
      <c r="C853" s="40" t="s">
        <v>3284</v>
      </c>
      <c r="D853" s="40" t="s">
        <v>34</v>
      </c>
      <c r="E853" s="43" t="s">
        <v>3285</v>
      </c>
      <c r="F853" s="44">
        <f t="shared" si="42"/>
        <v>2</v>
      </c>
      <c r="G853" s="40" t="s">
        <v>3286</v>
      </c>
      <c r="H853" s="40" t="s">
        <v>3287</v>
      </c>
      <c r="I853" s="7" t="str">
        <f>IFERROR(__xludf.DUMMYFUNCTION("regexreplace(lower(C853), ""_"", """")"),"mrilesionnumber")</f>
        <v>mrilesionnumber</v>
      </c>
      <c r="J853" s="9" t="b">
        <f t="shared" si="2"/>
        <v>1</v>
      </c>
      <c r="K853" s="7" t="str">
        <f>IFERROR(__xludf.DUMMYFUNCTION("regexreplace(G853, ""_"", """")"),"mrilesionnumber")</f>
        <v>mrilesionnumber</v>
      </c>
      <c r="L853" s="43" t="s">
        <v>3288</v>
      </c>
      <c r="M853" s="43" t="s">
        <v>3289</v>
      </c>
    </row>
    <row r="854">
      <c r="A854" s="43"/>
      <c r="B854" s="40" t="s">
        <v>2964</v>
      </c>
      <c r="C854" s="40" t="s">
        <v>3290</v>
      </c>
      <c r="D854" s="40" t="s">
        <v>43</v>
      </c>
      <c r="E854" s="43" t="s">
        <v>3291</v>
      </c>
      <c r="F854" s="44">
        <f t="shared" si="42"/>
        <v>2</v>
      </c>
      <c r="G854" s="40" t="s">
        <v>3292</v>
      </c>
      <c r="H854" s="43"/>
      <c r="I854" s="7" t="str">
        <f>IFERROR(__xludf.DUMMYFUNCTION("regexreplace(lower(C854), ""_"", """")"),"mrilesionhemisphere")</f>
        <v>mrilesionhemisphere</v>
      </c>
      <c r="J854" s="9" t="b">
        <f t="shared" si="2"/>
        <v>1</v>
      </c>
      <c r="K854" s="7" t="str">
        <f>IFERROR(__xludf.DUMMYFUNCTION("regexreplace(G854, ""_"", """")"),"mrilesionhemisphere")</f>
        <v>mrilesionhemisphere</v>
      </c>
      <c r="L854" s="43" t="s">
        <v>3293</v>
      </c>
      <c r="M854" s="43" t="s">
        <v>3294</v>
      </c>
    </row>
    <row r="855">
      <c r="A855" s="43"/>
      <c r="B855" s="40" t="s">
        <v>2964</v>
      </c>
      <c r="C855" s="40" t="s">
        <v>3295</v>
      </c>
      <c r="D855" s="40" t="s">
        <v>43</v>
      </c>
      <c r="E855" s="43"/>
      <c r="F855" s="44">
        <f t="shared" si="42"/>
        <v>2</v>
      </c>
      <c r="G855" s="40" t="s">
        <v>3296</v>
      </c>
      <c r="H855" s="43"/>
      <c r="I855" s="7" t="str">
        <f>IFERROR(__xludf.DUMMYFUNCTION("regexreplace(lower(C855), ""_"", """")"),"mrilesionhemispherec")</f>
        <v>mrilesionhemispherec</v>
      </c>
      <c r="J855" s="9" t="b">
        <f t="shared" si="2"/>
        <v>1</v>
      </c>
      <c r="K855" s="7" t="str">
        <f>IFERROR(__xludf.DUMMYFUNCTION("regexreplace(G855, ""_"", """")"),"mrilesionhemispherec")</f>
        <v>mrilesionhemispherec</v>
      </c>
      <c r="L855" s="43" t="s">
        <v>3297</v>
      </c>
      <c r="M855" s="43" t="s">
        <v>3298</v>
      </c>
    </row>
    <row r="856">
      <c r="A856" s="43"/>
      <c r="B856" s="40" t="s">
        <v>2964</v>
      </c>
      <c r="C856" s="40" t="s">
        <v>3299</v>
      </c>
      <c r="D856" s="40" t="s">
        <v>3300</v>
      </c>
      <c r="E856" s="43" t="s">
        <v>3301</v>
      </c>
      <c r="F856" s="44">
        <f t="shared" si="42"/>
        <v>2</v>
      </c>
      <c r="G856" s="40" t="s">
        <v>3302</v>
      </c>
      <c r="H856" s="43"/>
      <c r="I856" s="7" t="str">
        <f>IFERROR(__xludf.DUMMYFUNCTION("regexreplace(lower(C856), ""_"", """")"),"mriabnormalregion1")</f>
        <v>mriabnormalregion1</v>
      </c>
      <c r="J856" s="9" t="b">
        <f t="shared" si="2"/>
        <v>1</v>
      </c>
      <c r="K856" s="7" t="str">
        <f>IFERROR(__xludf.DUMMYFUNCTION("regexreplace(G856, ""_"", """")"),"mriabnormalregion1")</f>
        <v>mriabnormalregion1</v>
      </c>
      <c r="L856" s="43" t="s">
        <v>3303</v>
      </c>
      <c r="M856" s="43" t="s">
        <v>3304</v>
      </c>
    </row>
    <row r="857">
      <c r="A857" s="43"/>
      <c r="B857" s="40" t="s">
        <v>2964</v>
      </c>
      <c r="C857" s="40" t="s">
        <v>3305</v>
      </c>
      <c r="D857" s="40" t="s">
        <v>3300</v>
      </c>
      <c r="E857" s="43"/>
      <c r="F857" s="44">
        <f t="shared" si="42"/>
        <v>2</v>
      </c>
      <c r="G857" s="40" t="s">
        <v>3306</v>
      </c>
      <c r="H857" s="43"/>
      <c r="I857" s="7" t="str">
        <f>IFERROR(__xludf.DUMMYFUNCTION("regexreplace(lower(C857), ""_"", """")"),"mriabnormalregion1c")</f>
        <v>mriabnormalregion1c</v>
      </c>
      <c r="J857" s="9" t="b">
        <f t="shared" si="2"/>
        <v>1</v>
      </c>
      <c r="K857" s="7" t="str">
        <f>IFERROR(__xludf.DUMMYFUNCTION("regexreplace(G857, ""_"", """")"),"mriabnormalregion1c")</f>
        <v>mriabnormalregion1c</v>
      </c>
      <c r="L857" s="43" t="s">
        <v>3307</v>
      </c>
      <c r="M857" s="43" t="s">
        <v>3308</v>
      </c>
    </row>
    <row r="858">
      <c r="A858" s="43"/>
      <c r="B858" s="40" t="s">
        <v>2964</v>
      </c>
      <c r="C858" s="40" t="s">
        <v>3309</v>
      </c>
      <c r="D858" s="40" t="s">
        <v>3300</v>
      </c>
      <c r="E858" s="43" t="s">
        <v>3310</v>
      </c>
      <c r="F858" s="44">
        <f t="shared" si="42"/>
        <v>1</v>
      </c>
      <c r="G858" s="40" t="s">
        <v>3311</v>
      </c>
      <c r="H858" s="43"/>
      <c r="I858" s="7" t="str">
        <f>IFERROR(__xludf.DUMMYFUNCTION("regexreplace(lower(C858), ""_"", """")"),"mriabnormalregion2")</f>
        <v>mriabnormalregion2</v>
      </c>
      <c r="J858" s="9" t="b">
        <f t="shared" si="2"/>
        <v>1</v>
      </c>
      <c r="K858" s="7" t="str">
        <f>IFERROR(__xludf.DUMMYFUNCTION("regexreplace(G858, ""_"", """")"),"mriabnormalregion2")</f>
        <v>mriabnormalregion2</v>
      </c>
      <c r="L858" s="43" t="s">
        <v>3312</v>
      </c>
      <c r="M858" s="43"/>
    </row>
    <row r="859">
      <c r="A859" s="43"/>
      <c r="B859" s="40" t="s">
        <v>2964</v>
      </c>
      <c r="C859" s="40" t="s">
        <v>3313</v>
      </c>
      <c r="D859" s="40" t="s">
        <v>3300</v>
      </c>
      <c r="E859" s="43"/>
      <c r="F859" s="44">
        <f t="shared" si="42"/>
        <v>1</v>
      </c>
      <c r="G859" s="40" t="s">
        <v>3314</v>
      </c>
      <c r="H859" s="43"/>
      <c r="I859" s="7" t="str">
        <f>IFERROR(__xludf.DUMMYFUNCTION("regexreplace(lower(C859), ""_"", """")"),"mriabnormalregion2c")</f>
        <v>mriabnormalregion2c</v>
      </c>
      <c r="J859" s="9" t="b">
        <f t="shared" si="2"/>
        <v>1</v>
      </c>
      <c r="K859" s="7" t="str">
        <f>IFERROR(__xludf.DUMMYFUNCTION("regexreplace(G859, ""_"", """")"),"mriabnormalregion2c")</f>
        <v>mriabnormalregion2c</v>
      </c>
      <c r="L859" s="43" t="s">
        <v>3315</v>
      </c>
      <c r="M859" s="43"/>
    </row>
    <row r="860">
      <c r="A860" s="43"/>
      <c r="B860" s="40" t="s">
        <v>2964</v>
      </c>
      <c r="C860" s="40" t="s">
        <v>3316</v>
      </c>
      <c r="D860" s="40" t="s">
        <v>3300</v>
      </c>
      <c r="E860" s="43" t="s">
        <v>3317</v>
      </c>
      <c r="F860" s="44">
        <f t="shared" si="42"/>
        <v>1</v>
      </c>
      <c r="G860" s="40" t="s">
        <v>3318</v>
      </c>
      <c r="H860" s="43"/>
      <c r="I860" s="7" t="str">
        <f>IFERROR(__xludf.DUMMYFUNCTION("regexreplace(lower(C860), ""_"", """")"),"mriabnormalregion3")</f>
        <v>mriabnormalregion3</v>
      </c>
      <c r="J860" s="9" t="b">
        <f t="shared" si="2"/>
        <v>1</v>
      </c>
      <c r="K860" s="7" t="str">
        <f>IFERROR(__xludf.DUMMYFUNCTION("regexreplace(G860, ""_"", """")"),"mriabnormalregion3")</f>
        <v>mriabnormalregion3</v>
      </c>
      <c r="L860" s="43" t="s">
        <v>3319</v>
      </c>
      <c r="M860" s="43"/>
    </row>
    <row r="861">
      <c r="A861" s="43"/>
      <c r="B861" s="40" t="s">
        <v>2964</v>
      </c>
      <c r="C861" s="40" t="s">
        <v>3320</v>
      </c>
      <c r="D861" s="40" t="s">
        <v>3300</v>
      </c>
      <c r="E861" s="43"/>
      <c r="F861" s="44">
        <f t="shared" si="42"/>
        <v>1</v>
      </c>
      <c r="G861" s="40" t="s">
        <v>3321</v>
      </c>
      <c r="H861" s="43"/>
      <c r="I861" s="7" t="str">
        <f>IFERROR(__xludf.DUMMYFUNCTION("regexreplace(lower(C861), ""_"", """")"),"mriabnormalregion3c")</f>
        <v>mriabnormalregion3c</v>
      </c>
      <c r="J861" s="9" t="b">
        <f t="shared" si="2"/>
        <v>1</v>
      </c>
      <c r="K861" s="7" t="str">
        <f>IFERROR(__xludf.DUMMYFUNCTION("regexreplace(G861, ""_"", """")"),"mriabnormalregion3c")</f>
        <v>mriabnormalregion3c</v>
      </c>
      <c r="L861" s="43" t="s">
        <v>3322</v>
      </c>
      <c r="M861" s="43"/>
    </row>
    <row r="862">
      <c r="A862" s="43"/>
      <c r="B862" s="40" t="s">
        <v>2964</v>
      </c>
      <c r="C862" s="40" t="s">
        <v>3323</v>
      </c>
      <c r="D862" s="40" t="s">
        <v>3323</v>
      </c>
      <c r="E862" s="43"/>
      <c r="F862" s="44">
        <f t="shared" si="42"/>
        <v>2</v>
      </c>
      <c r="G862" s="40" t="s">
        <v>3324</v>
      </c>
      <c r="H862" s="43"/>
      <c r="I862" s="7" t="str">
        <f>IFERROR(__xludf.DUMMYFUNCTION("regexreplace(lower(C862), ""_"", """")"),"mriabnormalside")</f>
        <v>mriabnormalside</v>
      </c>
      <c r="J862" s="9" t="b">
        <f t="shared" si="2"/>
        <v>1</v>
      </c>
      <c r="K862" s="7" t="str">
        <f>IFERROR(__xludf.DUMMYFUNCTION("regexreplace(G862, ""_"", """")"),"mriabnormalside")</f>
        <v>mriabnormalside</v>
      </c>
      <c r="L862" s="43" t="s">
        <v>3325</v>
      </c>
      <c r="M862" s="43" t="s">
        <v>3326</v>
      </c>
    </row>
    <row r="863">
      <c r="A863" s="43"/>
      <c r="B863" s="40" t="s">
        <v>2964</v>
      </c>
      <c r="C863" s="40" t="s">
        <v>3327</v>
      </c>
      <c r="D863" s="40" t="s">
        <v>3323</v>
      </c>
      <c r="E863" s="43"/>
      <c r="F863" s="44">
        <f t="shared" si="42"/>
        <v>2</v>
      </c>
      <c r="G863" s="40" t="s">
        <v>3328</v>
      </c>
      <c r="H863" s="43"/>
      <c r="I863" s="7" t="str">
        <f>IFERROR(__xludf.DUMMYFUNCTION("regexreplace(lower(C863), ""_"", """")"),"mriabnormalsidec")</f>
        <v>mriabnormalsidec</v>
      </c>
      <c r="J863" s="9" t="b">
        <f t="shared" si="2"/>
        <v>1</v>
      </c>
      <c r="K863" s="7" t="str">
        <f>IFERROR(__xludf.DUMMYFUNCTION("regexreplace(G863, ""_"", """")"),"mriabnormalsidec")</f>
        <v>mriabnormalsidec</v>
      </c>
      <c r="L863" s="43" t="s">
        <v>3329</v>
      </c>
      <c r="M863" s="43" t="s">
        <v>3330</v>
      </c>
    </row>
    <row r="864">
      <c r="A864" s="43"/>
      <c r="B864" s="40" t="s">
        <v>2964</v>
      </c>
      <c r="C864" s="40" t="s">
        <v>3331</v>
      </c>
      <c r="D864" s="40" t="s">
        <v>3332</v>
      </c>
      <c r="E864" s="43" t="s">
        <v>3333</v>
      </c>
      <c r="F864" s="44">
        <f t="shared" si="42"/>
        <v>2</v>
      </c>
      <c r="G864" s="40" t="s">
        <v>3334</v>
      </c>
      <c r="H864" s="43"/>
      <c r="I864" s="7" t="str">
        <f>IFERROR(__xludf.DUMMYFUNCTION("regexreplace(lower(C864), ""_"", """")"),"mriabnormalgraymatterwhitematter")</f>
        <v>mriabnormalgraymatterwhitematter</v>
      </c>
      <c r="J864" s="9" t="b">
        <f t="shared" si="2"/>
        <v>1</v>
      </c>
      <c r="K864" s="7" t="str">
        <f>IFERROR(__xludf.DUMMYFUNCTION("regexreplace(G864, ""_"", """")"),"mriabnormalgraymatterwhitematter")</f>
        <v>mriabnormalgraymatterwhitematter</v>
      </c>
      <c r="L864" s="43" t="s">
        <v>3335</v>
      </c>
      <c r="M864" s="43" t="s">
        <v>3336</v>
      </c>
    </row>
    <row r="865">
      <c r="A865" s="43"/>
      <c r="B865" s="40" t="s">
        <v>2964</v>
      </c>
      <c r="C865" s="40" t="s">
        <v>3337</v>
      </c>
      <c r="D865" s="40" t="s">
        <v>3332</v>
      </c>
      <c r="E865" s="43"/>
      <c r="F865" s="44">
        <f t="shared" si="42"/>
        <v>2</v>
      </c>
      <c r="G865" s="40" t="s">
        <v>3338</v>
      </c>
      <c r="H865" s="43"/>
      <c r="I865" s="7" t="str">
        <f>IFERROR(__xludf.DUMMYFUNCTION("regexreplace(lower(C865), ""_"", """")"),"mriabnormalgraymatterwhitematterc")</f>
        <v>mriabnormalgraymatterwhitematterc</v>
      </c>
      <c r="J865" s="9" t="b">
        <f t="shared" si="2"/>
        <v>1</v>
      </c>
      <c r="K865" s="7" t="str">
        <f>IFERROR(__xludf.DUMMYFUNCTION("regexreplace(G865, ""_"", """")"),"mriabnormalgraymatterwhitematterc")</f>
        <v>mriabnormalgraymatterwhitematterc</v>
      </c>
      <c r="L865" s="43" t="s">
        <v>3339</v>
      </c>
      <c r="M865" s="43" t="s">
        <v>3340</v>
      </c>
    </row>
    <row r="866">
      <c r="A866" s="43"/>
      <c r="B866" s="40" t="s">
        <v>2964</v>
      </c>
      <c r="C866" s="40" t="s">
        <v>3341</v>
      </c>
      <c r="D866" s="40" t="s">
        <v>3342</v>
      </c>
      <c r="E866" s="43" t="s">
        <v>3343</v>
      </c>
      <c r="F866" s="44">
        <f t="shared" si="42"/>
        <v>2</v>
      </c>
      <c r="G866" s="40" t="s">
        <v>3344</v>
      </c>
      <c r="H866" s="43"/>
      <c r="I866" s="7" t="str">
        <f>IFERROR(__xludf.DUMMYFUNCTION("regexreplace(lower(C866), ""_"", """")"),"mriabnormalextent1")</f>
        <v>mriabnormalextent1</v>
      </c>
      <c r="J866" s="9" t="b">
        <f t="shared" si="2"/>
        <v>1</v>
      </c>
      <c r="K866" s="7" t="str">
        <f>IFERROR(__xludf.DUMMYFUNCTION("regexreplace(G866, ""_"", """")"),"mriabnormalextent1")</f>
        <v>mriabnormalextent1</v>
      </c>
      <c r="L866" s="43" t="s">
        <v>3345</v>
      </c>
      <c r="M866" s="43" t="s">
        <v>3346</v>
      </c>
    </row>
    <row r="867">
      <c r="A867" s="43"/>
      <c r="B867" s="40" t="s">
        <v>2964</v>
      </c>
      <c r="C867" s="40" t="s">
        <v>3347</v>
      </c>
      <c r="D867" s="40" t="s">
        <v>3342</v>
      </c>
      <c r="E867" s="43"/>
      <c r="F867" s="44">
        <f t="shared" si="42"/>
        <v>2</v>
      </c>
      <c r="G867" s="40" t="s">
        <v>3348</v>
      </c>
      <c r="H867" s="43"/>
      <c r="I867" s="7" t="str">
        <f>IFERROR(__xludf.DUMMYFUNCTION("regexreplace(lower(C867), ""_"", """")"),"mriabnormalextent1c")</f>
        <v>mriabnormalextent1c</v>
      </c>
      <c r="J867" s="9" t="b">
        <f t="shared" si="2"/>
        <v>1</v>
      </c>
      <c r="K867" s="7" t="str">
        <f>IFERROR(__xludf.DUMMYFUNCTION("regexreplace(G867, ""_"", """")"),"mriabnormalextent1c")</f>
        <v>mriabnormalextent1c</v>
      </c>
      <c r="L867" s="43" t="s">
        <v>3349</v>
      </c>
      <c r="M867" s="43" t="s">
        <v>3350</v>
      </c>
    </row>
    <row r="868">
      <c r="A868" s="43"/>
      <c r="B868" s="40" t="s">
        <v>2964</v>
      </c>
      <c r="C868" s="40" t="s">
        <v>3351</v>
      </c>
      <c r="D868" s="40" t="s">
        <v>3342</v>
      </c>
      <c r="E868" s="43"/>
      <c r="F868" s="44">
        <f t="shared" si="42"/>
        <v>1</v>
      </c>
      <c r="G868" s="40" t="s">
        <v>3352</v>
      </c>
      <c r="H868" s="43"/>
      <c r="I868" s="7" t="str">
        <f>IFERROR(__xludf.DUMMYFUNCTION("regexreplace(lower(C868), ""_"", """")"),"mriabnormalextent2")</f>
        <v>mriabnormalextent2</v>
      </c>
      <c r="J868" s="9" t="b">
        <f t="shared" si="2"/>
        <v>1</v>
      </c>
      <c r="K868" s="7" t="str">
        <f>IFERROR(__xludf.DUMMYFUNCTION("regexreplace(G868, ""_"", """")"),"mriabnormalextent2")</f>
        <v>mriabnormalextent2</v>
      </c>
      <c r="L868" s="43" t="s">
        <v>3353</v>
      </c>
      <c r="M868" s="43"/>
    </row>
    <row r="869">
      <c r="A869" s="43"/>
      <c r="B869" s="40" t="s">
        <v>2964</v>
      </c>
      <c r="C869" s="40" t="s">
        <v>3354</v>
      </c>
      <c r="D869" s="40" t="s">
        <v>3342</v>
      </c>
      <c r="E869" s="43"/>
      <c r="F869" s="44">
        <f t="shared" si="42"/>
        <v>1</v>
      </c>
      <c r="G869" s="40" t="s">
        <v>3355</v>
      </c>
      <c r="H869" s="43"/>
      <c r="I869" s="7" t="str">
        <f>IFERROR(__xludf.DUMMYFUNCTION("regexreplace(lower(C869), ""_"", """")"),"mriabnormalextent2c")</f>
        <v>mriabnormalextent2c</v>
      </c>
      <c r="J869" s="9" t="b">
        <f t="shared" si="2"/>
        <v>1</v>
      </c>
      <c r="K869" s="7" t="str">
        <f>IFERROR(__xludf.DUMMYFUNCTION("regexreplace(G869, ""_"", """")"),"mriabnormalextent2c")</f>
        <v>mriabnormalextent2c</v>
      </c>
      <c r="L869" s="43" t="s">
        <v>3356</v>
      </c>
      <c r="M869" s="43"/>
    </row>
    <row r="870">
      <c r="A870" s="43"/>
      <c r="B870" s="40" t="s">
        <v>2964</v>
      </c>
      <c r="C870" s="40" t="s">
        <v>3357</v>
      </c>
      <c r="D870" s="40" t="s">
        <v>3357</v>
      </c>
      <c r="E870" s="43" t="s">
        <v>3358</v>
      </c>
      <c r="F870" s="44">
        <f t="shared" si="42"/>
        <v>2</v>
      </c>
      <c r="G870" s="40" t="s">
        <v>3359</v>
      </c>
      <c r="H870" s="43"/>
      <c r="I870" s="7" t="str">
        <f>IFERROR(__xludf.DUMMYFUNCTION("regexreplace(lower(C870), ""_"", """")"),"mriabnormaltype")</f>
        <v>mriabnormaltype</v>
      </c>
      <c r="J870" s="9" t="b">
        <f t="shared" si="2"/>
        <v>1</v>
      </c>
      <c r="K870" s="7" t="str">
        <f>IFERROR(__xludf.DUMMYFUNCTION("regexreplace(G870, ""_"", """")"),"mriabnormaltype")</f>
        <v>mriabnormaltype</v>
      </c>
      <c r="L870" s="43" t="s">
        <v>3360</v>
      </c>
      <c r="M870" s="43" t="s">
        <v>3361</v>
      </c>
    </row>
    <row r="871">
      <c r="A871" s="43"/>
      <c r="B871" s="40" t="s">
        <v>2964</v>
      </c>
      <c r="C871" s="40" t="s">
        <v>3362</v>
      </c>
      <c r="D871" s="40" t="s">
        <v>3357</v>
      </c>
      <c r="E871" s="43"/>
      <c r="F871" s="44">
        <f t="shared" si="42"/>
        <v>2</v>
      </c>
      <c r="G871" s="40" t="s">
        <v>3363</v>
      </c>
      <c r="H871" s="43"/>
      <c r="I871" s="7" t="str">
        <f>IFERROR(__xludf.DUMMYFUNCTION("regexreplace(lower(C871), ""_"", """")"),"mriabnormaltypec")</f>
        <v>mriabnormaltypec</v>
      </c>
      <c r="J871" s="9" t="b">
        <f t="shared" si="2"/>
        <v>1</v>
      </c>
      <c r="K871" s="7" t="str">
        <f>IFERROR(__xludf.DUMMYFUNCTION("regexreplace(G871, ""_"", """")"),"mriabnormaltypec")</f>
        <v>mriabnormaltypec</v>
      </c>
      <c r="L871" s="43" t="s">
        <v>3364</v>
      </c>
      <c r="M871" s="43" t="s">
        <v>3365</v>
      </c>
    </row>
    <row r="872">
      <c r="A872" s="43"/>
      <c r="B872" s="40" t="s">
        <v>2964</v>
      </c>
      <c r="C872" s="40" t="s">
        <v>3366</v>
      </c>
      <c r="D872" s="40" t="s">
        <v>3357</v>
      </c>
      <c r="E872" s="43"/>
      <c r="F872" s="44">
        <f t="shared" si="42"/>
        <v>1</v>
      </c>
      <c r="G872" s="40" t="s">
        <v>3367</v>
      </c>
      <c r="H872" s="43"/>
      <c r="I872" s="7" t="str">
        <f>IFERROR(__xludf.DUMMYFUNCTION("regexreplace(lower(C872), ""_"", """")"),"mriabnormaltype2")</f>
        <v>mriabnormaltype2</v>
      </c>
      <c r="J872" s="9" t="b">
        <f t="shared" si="2"/>
        <v>1</v>
      </c>
      <c r="K872" s="7" t="str">
        <f>IFERROR(__xludf.DUMMYFUNCTION("regexreplace(G872, ""_"", """")"),"mriabnormaltype2")</f>
        <v>mriabnormaltype2</v>
      </c>
      <c r="L872" s="43" t="s">
        <v>3368</v>
      </c>
      <c r="M872" s="43"/>
    </row>
    <row r="873">
      <c r="A873" s="43"/>
      <c r="B873" s="40" t="s">
        <v>2964</v>
      </c>
      <c r="C873" s="40" t="s">
        <v>3369</v>
      </c>
      <c r="D873" s="40" t="s">
        <v>3357</v>
      </c>
      <c r="E873" s="43"/>
      <c r="F873" s="44">
        <f t="shared" si="42"/>
        <v>1</v>
      </c>
      <c r="G873" s="40" t="s">
        <v>3370</v>
      </c>
      <c r="H873" s="43"/>
      <c r="I873" s="7" t="str">
        <f>IFERROR(__xludf.DUMMYFUNCTION("regexreplace(lower(C873), ""_"", """")"),"mriabnormaltype2c")</f>
        <v>mriabnormaltype2c</v>
      </c>
      <c r="J873" s="9" t="b">
        <f t="shared" si="2"/>
        <v>1</v>
      </c>
      <c r="K873" s="7" t="str">
        <f>IFERROR(__xludf.DUMMYFUNCTION("regexreplace(G873, ""_"", """")"),"mriabnormaltype2c")</f>
        <v>mriabnormaltype2c</v>
      </c>
      <c r="L873" s="43" t="s">
        <v>3371</v>
      </c>
      <c r="M873" s="43"/>
    </row>
    <row r="874">
      <c r="A874" s="43"/>
      <c r="B874" s="40" t="s">
        <v>2964</v>
      </c>
      <c r="C874" s="40" t="s">
        <v>3372</v>
      </c>
      <c r="D874" s="40" t="s">
        <v>19</v>
      </c>
      <c r="E874" s="43" t="s">
        <v>3373</v>
      </c>
      <c r="F874" s="44">
        <f t="shared" si="42"/>
        <v>2</v>
      </c>
      <c r="G874" s="40" t="s">
        <v>3374</v>
      </c>
      <c r="H874" s="43"/>
      <c r="I874" s="7" t="str">
        <f>IFERROR(__xludf.DUMMYFUNCTION("regexreplace(lower(C874), ""_"", """")"),"mriabnormalcomment")</f>
        <v>mriabnormalcomment</v>
      </c>
      <c r="J874" s="9" t="b">
        <f t="shared" si="2"/>
        <v>1</v>
      </c>
      <c r="K874" s="7" t="str">
        <f>IFERROR(__xludf.DUMMYFUNCTION("regexreplace(G874, ""_"", """")"),"mriabnormalcomment")</f>
        <v>mriabnormalcomment</v>
      </c>
      <c r="L874" s="43" t="s">
        <v>3375</v>
      </c>
      <c r="M874" s="43" t="s">
        <v>3376</v>
      </c>
    </row>
    <row r="875">
      <c r="A875" s="43"/>
      <c r="B875" s="40" t="s">
        <v>2964</v>
      </c>
      <c r="C875" s="40" t="s">
        <v>3377</v>
      </c>
      <c r="D875" s="40" t="s">
        <v>43</v>
      </c>
      <c r="E875" s="43" t="s">
        <v>3378</v>
      </c>
      <c r="F875" s="44">
        <f t="shared" si="42"/>
        <v>2</v>
      </c>
      <c r="G875" s="40" t="s">
        <v>3379</v>
      </c>
      <c r="H875" s="43"/>
      <c r="I875" s="7" t="str">
        <f>IFERROR(__xludf.DUMMYFUNCTION("regexreplace(lower(C875), ""_"", """")"),"mricerebralatrophy")</f>
        <v>mricerebralatrophy</v>
      </c>
      <c r="J875" s="9" t="b">
        <f t="shared" si="2"/>
        <v>1</v>
      </c>
      <c r="K875" s="7" t="str">
        <f>IFERROR(__xludf.DUMMYFUNCTION("regexreplace(G875, ""_"", """")"),"mricerebralatrophy")</f>
        <v>mricerebralatrophy</v>
      </c>
      <c r="L875" s="43" t="s">
        <v>3380</v>
      </c>
      <c r="M875" s="43" t="s">
        <v>3381</v>
      </c>
    </row>
    <row r="876">
      <c r="A876" s="43"/>
      <c r="B876" s="40" t="s">
        <v>2964</v>
      </c>
      <c r="C876" s="40" t="s">
        <v>3382</v>
      </c>
      <c r="D876" s="40" t="s">
        <v>43</v>
      </c>
      <c r="E876" s="43"/>
      <c r="F876" s="44">
        <f t="shared" si="42"/>
        <v>2</v>
      </c>
      <c r="G876" s="40" t="s">
        <v>3383</v>
      </c>
      <c r="H876" s="43"/>
      <c r="I876" s="7" t="str">
        <f>IFERROR(__xludf.DUMMYFUNCTION("regexreplace(lower(C876), ""_"", """")"),"mricerebralatrophyc")</f>
        <v>mricerebralatrophyc</v>
      </c>
      <c r="J876" s="9" t="b">
        <f t="shared" si="2"/>
        <v>1</v>
      </c>
      <c r="K876" s="7" t="str">
        <f>IFERROR(__xludf.DUMMYFUNCTION("regexreplace(G876, ""_"", """")"),"mricerebralatrophyc")</f>
        <v>mricerebralatrophyc</v>
      </c>
      <c r="L876" s="43" t="s">
        <v>3384</v>
      </c>
      <c r="M876" s="43" t="s">
        <v>3385</v>
      </c>
    </row>
    <row r="877">
      <c r="A877" s="43"/>
      <c r="B877" s="40" t="s">
        <v>2964</v>
      </c>
      <c r="C877" s="40" t="s">
        <v>3386</v>
      </c>
      <c r="D877" s="40" t="s">
        <v>3386</v>
      </c>
      <c r="E877" s="43"/>
      <c r="F877" s="44">
        <f t="shared" si="42"/>
        <v>1</v>
      </c>
      <c r="G877" s="40" t="s">
        <v>3387</v>
      </c>
      <c r="H877" s="43"/>
      <c r="I877" s="7" t="str">
        <f>IFERROR(__xludf.DUMMYFUNCTION("regexreplace(lower(C877), ""_"", """")"),"mricerebralatrophygloballocal")</f>
        <v>mricerebralatrophygloballocal</v>
      </c>
      <c r="J877" s="9" t="b">
        <f t="shared" si="2"/>
        <v>1</v>
      </c>
      <c r="K877" s="7" t="str">
        <f>IFERROR(__xludf.DUMMYFUNCTION("regexreplace(G877, ""_"", """")"),"mricerebralatrophygloballocal")</f>
        <v>mricerebralatrophygloballocal</v>
      </c>
      <c r="L877" s="43"/>
      <c r="M877" s="43" t="s">
        <v>3388</v>
      </c>
    </row>
    <row r="878">
      <c r="A878" s="43"/>
      <c r="B878" s="40" t="s">
        <v>2964</v>
      </c>
      <c r="C878" s="40" t="s">
        <v>3389</v>
      </c>
      <c r="D878" s="40" t="s">
        <v>3386</v>
      </c>
      <c r="E878" s="43"/>
      <c r="F878" s="44">
        <f t="shared" si="42"/>
        <v>1</v>
      </c>
      <c r="G878" s="40" t="s">
        <v>3390</v>
      </c>
      <c r="H878" s="43"/>
      <c r="I878" s="7" t="str">
        <f>IFERROR(__xludf.DUMMYFUNCTION("regexreplace(lower(C878), ""_"", """")"),"mricerebralatrophygloballocalc")</f>
        <v>mricerebralatrophygloballocalc</v>
      </c>
      <c r="J878" s="9" t="b">
        <f t="shared" si="2"/>
        <v>1</v>
      </c>
      <c r="K878" s="7" t="str">
        <f>IFERROR(__xludf.DUMMYFUNCTION("regexreplace(G878, ""_"", """")"),"mricerebralatrophygloballocalc")</f>
        <v>mricerebralatrophygloballocalc</v>
      </c>
      <c r="L878" s="43"/>
      <c r="M878" s="43" t="s">
        <v>3391</v>
      </c>
    </row>
    <row r="879">
      <c r="A879" s="43"/>
      <c r="B879" s="40" t="s">
        <v>2964</v>
      </c>
      <c r="C879" s="40" t="s">
        <v>3392</v>
      </c>
      <c r="D879" s="40" t="s">
        <v>3392</v>
      </c>
      <c r="E879" s="43"/>
      <c r="F879" s="44">
        <f t="shared" si="42"/>
        <v>2</v>
      </c>
      <c r="G879" s="40" t="s">
        <v>3393</v>
      </c>
      <c r="H879" s="43"/>
      <c r="I879" s="7" t="str">
        <f>IFERROR(__xludf.DUMMYFUNCTION("regexreplace(lower(C879), ""_"", """")"),"mricerebralatrophyregion")</f>
        <v>mricerebralatrophyregion</v>
      </c>
      <c r="J879" s="9" t="b">
        <f t="shared" si="2"/>
        <v>1</v>
      </c>
      <c r="K879" s="7" t="str">
        <f>IFERROR(__xludf.DUMMYFUNCTION("regexreplace(G879, ""_"", """")"),"mricerebralatrophyregion")</f>
        <v>mricerebralatrophyregion</v>
      </c>
      <c r="L879" s="43" t="s">
        <v>3394</v>
      </c>
      <c r="M879" s="43" t="s">
        <v>3395</v>
      </c>
    </row>
    <row r="880">
      <c r="A880" s="43"/>
      <c r="B880" s="40" t="s">
        <v>2964</v>
      </c>
      <c r="C880" s="40" t="s">
        <v>3396</v>
      </c>
      <c r="D880" s="40" t="s">
        <v>3397</v>
      </c>
      <c r="E880" s="43" t="s">
        <v>3398</v>
      </c>
      <c r="F880" s="44">
        <f t="shared" si="42"/>
        <v>2</v>
      </c>
      <c r="G880" s="40" t="s">
        <v>3399</v>
      </c>
      <c r="H880" s="43"/>
      <c r="I880" s="7" t="str">
        <f>IFERROR(__xludf.DUMMYFUNCTION("regexreplace(lower(C880), ""_"", """")"),"mricerebralatrophyqualassesscc")</f>
        <v>mricerebralatrophyqualassesscc</v>
      </c>
      <c r="J880" s="9" t="b">
        <f t="shared" si="2"/>
        <v>1</v>
      </c>
      <c r="K880" s="7" t="str">
        <f>IFERROR(__xludf.DUMMYFUNCTION("regexreplace(G880, ""_"", """")"),"mricerebralatrophyqualassesscc")</f>
        <v>mricerebralatrophyqualassesscc</v>
      </c>
      <c r="L880" s="43" t="s">
        <v>3400</v>
      </c>
      <c r="M880" s="43" t="s">
        <v>3401</v>
      </c>
    </row>
    <row r="881">
      <c r="A881" s="43"/>
      <c r="B881" s="40" t="s">
        <v>2964</v>
      </c>
      <c r="C881" s="40" t="s">
        <v>3402</v>
      </c>
      <c r="D881" s="40" t="s">
        <v>3397</v>
      </c>
      <c r="E881" s="43"/>
      <c r="F881" s="44">
        <f t="shared" si="42"/>
        <v>2</v>
      </c>
      <c r="G881" s="40" t="s">
        <v>3403</v>
      </c>
      <c r="H881" s="43"/>
      <c r="I881" s="7" t="str">
        <f>IFERROR(__xludf.DUMMYFUNCTION("regexreplace(lower(C881), ""_"", """")"),"mricerebralatrophyqualassessccc")</f>
        <v>mricerebralatrophyqualassessccc</v>
      </c>
      <c r="J881" s="9" t="b">
        <f t="shared" si="2"/>
        <v>1</v>
      </c>
      <c r="K881" s="7" t="str">
        <f>IFERROR(__xludf.DUMMYFUNCTION("regexreplace(G881, ""_"", """")"),"mricerebralatrophyqualassessccc")</f>
        <v>mricerebralatrophyqualassessccc</v>
      </c>
      <c r="L881" s="43" t="s">
        <v>3404</v>
      </c>
      <c r="M881" s="43" t="s">
        <v>3405</v>
      </c>
    </row>
    <row r="882">
      <c r="A882" s="43"/>
      <c r="B882" s="40" t="s">
        <v>2964</v>
      </c>
      <c r="C882" s="40" t="s">
        <v>3406</v>
      </c>
      <c r="D882" s="40" t="s">
        <v>3397</v>
      </c>
      <c r="E882" s="43" t="s">
        <v>3407</v>
      </c>
      <c r="F882" s="44">
        <f t="shared" si="42"/>
        <v>2</v>
      </c>
      <c r="G882" s="40" t="s">
        <v>3408</v>
      </c>
      <c r="H882" s="43"/>
      <c r="I882" s="7" t="str">
        <f>IFERROR(__xludf.DUMMYFUNCTION("regexreplace(lower(C882), ""_"", """")"),"mricerebralatrophyqualassessvdleft")</f>
        <v>mricerebralatrophyqualassessvdleft</v>
      </c>
      <c r="J882" s="9" t="b">
        <f t="shared" si="2"/>
        <v>1</v>
      </c>
      <c r="K882" s="7" t="str">
        <f>IFERROR(__xludf.DUMMYFUNCTION("regexreplace(G882, ""_"", """")"),"mricerebralatrophyqualassessvdleft")</f>
        <v>mricerebralatrophyqualassessvdleft</v>
      </c>
      <c r="L882" s="43" t="s">
        <v>3409</v>
      </c>
      <c r="M882" s="43" t="s">
        <v>3410</v>
      </c>
    </row>
    <row r="883">
      <c r="A883" s="43"/>
      <c r="B883" s="40" t="s">
        <v>2964</v>
      </c>
      <c r="C883" s="40" t="s">
        <v>3411</v>
      </c>
      <c r="D883" s="40" t="s">
        <v>3397</v>
      </c>
      <c r="E883" s="43"/>
      <c r="F883" s="44">
        <f t="shared" si="42"/>
        <v>2</v>
      </c>
      <c r="G883" s="40" t="s">
        <v>3412</v>
      </c>
      <c r="H883" s="43"/>
      <c r="I883" s="7" t="str">
        <f>IFERROR(__xludf.DUMMYFUNCTION("regexreplace(lower(C883), ""_"", """")"),"mricerebralatrophyqualassessvdleftc")</f>
        <v>mricerebralatrophyqualassessvdleftc</v>
      </c>
      <c r="J883" s="9" t="b">
        <f t="shared" si="2"/>
        <v>1</v>
      </c>
      <c r="K883" s="7" t="str">
        <f>IFERROR(__xludf.DUMMYFUNCTION("regexreplace(G883, ""_"", """")"),"mricerebralatrophyqualassessvdleftc")</f>
        <v>mricerebralatrophyqualassessvdleftc</v>
      </c>
      <c r="L883" s="43" t="s">
        <v>3413</v>
      </c>
      <c r="M883" s="43" t="s">
        <v>3414</v>
      </c>
    </row>
    <row r="884">
      <c r="A884" s="43"/>
      <c r="B884" s="40" t="s">
        <v>2964</v>
      </c>
      <c r="C884" s="40" t="s">
        <v>3415</v>
      </c>
      <c r="D884" s="40" t="s">
        <v>3397</v>
      </c>
      <c r="E884" s="43" t="s">
        <v>3416</v>
      </c>
      <c r="F884" s="44">
        <f t="shared" si="42"/>
        <v>2</v>
      </c>
      <c r="G884" s="40" t="s">
        <v>3417</v>
      </c>
      <c r="H884" s="43"/>
      <c r="I884" s="7" t="str">
        <f>IFERROR(__xludf.DUMMYFUNCTION("regexreplace(lower(C884), ""_"", """")"),"mricerebralatrophyqualassessvdright")</f>
        <v>mricerebralatrophyqualassessvdright</v>
      </c>
      <c r="J884" s="9" t="b">
        <f t="shared" si="2"/>
        <v>1</v>
      </c>
      <c r="K884" s="7" t="str">
        <f>IFERROR(__xludf.DUMMYFUNCTION("regexreplace(G884, ""_"", """")"),"mricerebralatrophyqualassessvdright")</f>
        <v>mricerebralatrophyqualassessvdright</v>
      </c>
      <c r="L884" s="43" t="s">
        <v>3418</v>
      </c>
      <c r="M884" s="43" t="s">
        <v>3419</v>
      </c>
    </row>
    <row r="885">
      <c r="A885" s="43"/>
      <c r="B885" s="40" t="s">
        <v>2964</v>
      </c>
      <c r="C885" s="40" t="s">
        <v>3420</v>
      </c>
      <c r="D885" s="40" t="s">
        <v>3397</v>
      </c>
      <c r="E885" s="43"/>
      <c r="F885" s="44">
        <f t="shared" si="42"/>
        <v>2</v>
      </c>
      <c r="G885" s="40" t="s">
        <v>3421</v>
      </c>
      <c r="H885" s="43"/>
      <c r="I885" s="7" t="str">
        <f>IFERROR(__xludf.DUMMYFUNCTION("regexreplace(lower(C885), ""_"", """")"),"mricerebralatrophyqualassessvdrightc")</f>
        <v>mricerebralatrophyqualassessvdrightc</v>
      </c>
      <c r="J885" s="9" t="b">
        <f t="shared" si="2"/>
        <v>1</v>
      </c>
      <c r="K885" s="7" t="str">
        <f>IFERROR(__xludf.DUMMYFUNCTION("regexreplace(G885, ""_"", """")"),"mricerebralatrophyqualassessvdrightc")</f>
        <v>mricerebralatrophyqualassessvdrightc</v>
      </c>
      <c r="L885" s="43" t="s">
        <v>3422</v>
      </c>
      <c r="M885" s="43" t="s">
        <v>3423</v>
      </c>
    </row>
    <row r="886">
      <c r="A886" s="43"/>
      <c r="B886" s="43"/>
      <c r="C886" s="40"/>
      <c r="D886" s="43"/>
      <c r="E886" s="43"/>
      <c r="F886" s="43"/>
      <c r="G886" s="43"/>
      <c r="H886" s="43"/>
      <c r="I886" s="7" t="str">
        <f>IFERROR(__xludf.DUMMYFUNCTION("regexreplace(lower(C886), ""_"", """")"),"")</f>
        <v/>
      </c>
      <c r="J886" s="9" t="str">
        <f t="shared" si="2"/>
        <v/>
      </c>
      <c r="K886" s="7" t="str">
        <f>IFERROR(__xludf.DUMMYFUNCTION("regexreplace(G886, ""_"", """")"),"")</f>
        <v/>
      </c>
      <c r="L886" s="43"/>
      <c r="M886" s="43"/>
    </row>
    <row r="887">
      <c r="A887" s="43"/>
      <c r="B887" s="43"/>
      <c r="C887" s="40"/>
      <c r="D887" s="43"/>
      <c r="E887" s="43"/>
      <c r="F887" s="43"/>
      <c r="G887" s="43"/>
      <c r="H887" s="43"/>
      <c r="I887" s="7" t="str">
        <f>IFERROR(__xludf.DUMMYFUNCTION("regexreplace(lower(C887), ""_"", """")"),"")</f>
        <v/>
      </c>
      <c r="J887" s="9" t="str">
        <f t="shared" si="2"/>
        <v/>
      </c>
      <c r="K887" s="7" t="str">
        <f>IFERROR(__xludf.DUMMYFUNCTION("regexreplace(G887, ""_"", """")"),"")</f>
        <v/>
      </c>
      <c r="L887" s="43"/>
      <c r="M887" s="43"/>
    </row>
    <row r="888">
      <c r="A888" s="43"/>
      <c r="B888" s="43"/>
      <c r="C888" s="40"/>
      <c r="D888" s="43"/>
      <c r="E888" s="43"/>
      <c r="F888" s="43"/>
      <c r="G888" s="43"/>
      <c r="H888" s="43"/>
      <c r="I888" s="7" t="str">
        <f>IFERROR(__xludf.DUMMYFUNCTION("regexreplace(lower(C888), ""_"", """")"),"")</f>
        <v/>
      </c>
      <c r="J888" s="9" t="str">
        <f t="shared" si="2"/>
        <v/>
      </c>
      <c r="K888" s="7" t="str">
        <f>IFERROR(__xludf.DUMMYFUNCTION("regexreplace(G888, ""_"", """")"),"")</f>
        <v/>
      </c>
      <c r="L888" s="43"/>
      <c r="M888" s="43"/>
    </row>
    <row r="889">
      <c r="A889" s="43"/>
      <c r="B889" s="43"/>
      <c r="C889" s="40"/>
      <c r="D889" s="43"/>
      <c r="E889" s="43"/>
      <c r="F889" s="43"/>
      <c r="G889" s="43"/>
      <c r="H889" s="43"/>
      <c r="I889" s="7" t="str">
        <f>IFERROR(__xludf.DUMMYFUNCTION("regexreplace(lower(C889), ""_"", """")"),"")</f>
        <v/>
      </c>
      <c r="J889" s="9" t="str">
        <f t="shared" si="2"/>
        <v/>
      </c>
      <c r="K889" s="7" t="str">
        <f>IFERROR(__xludf.DUMMYFUNCTION("regexreplace(G889, ""_"", """")"),"")</f>
        <v/>
      </c>
      <c r="L889" s="43"/>
      <c r="M889" s="43"/>
    </row>
    <row r="890">
      <c r="A890" s="43"/>
      <c r="B890" s="43"/>
      <c r="C890" s="40"/>
      <c r="D890" s="43"/>
      <c r="E890" s="43"/>
      <c r="F890" s="43"/>
      <c r="G890" s="43"/>
      <c r="H890" s="43"/>
      <c r="I890" s="7" t="str">
        <f>IFERROR(__xludf.DUMMYFUNCTION("regexreplace(lower(C890), ""_"", """")"),"")</f>
        <v/>
      </c>
      <c r="J890" s="9" t="str">
        <f t="shared" si="2"/>
        <v/>
      </c>
      <c r="K890" s="7" t="str">
        <f>IFERROR(__xludf.DUMMYFUNCTION("regexreplace(G890, ""_"", """")"),"")</f>
        <v/>
      </c>
      <c r="L890" s="43"/>
      <c r="M890" s="43"/>
    </row>
    <row r="891">
      <c r="A891" s="43"/>
      <c r="B891" s="43"/>
      <c r="C891" s="40"/>
      <c r="D891" s="43"/>
      <c r="E891" s="43"/>
      <c r="F891" s="43"/>
      <c r="G891" s="43"/>
      <c r="H891" s="43"/>
      <c r="I891" s="7" t="str">
        <f>IFERROR(__xludf.DUMMYFUNCTION("regexreplace(lower(C891), ""_"", """")"),"")</f>
        <v/>
      </c>
      <c r="J891" s="9" t="str">
        <f t="shared" si="2"/>
        <v/>
      </c>
      <c r="K891" s="7" t="str">
        <f>IFERROR(__xludf.DUMMYFUNCTION("regexreplace(G891, ""_"", """")"),"")</f>
        <v/>
      </c>
      <c r="L891" s="43"/>
      <c r="M891" s="43"/>
    </row>
    <row r="892">
      <c r="A892" s="43"/>
      <c r="B892" s="40" t="s">
        <v>2964</v>
      </c>
      <c r="C892" s="40" t="s">
        <v>3424</v>
      </c>
      <c r="D892" s="40" t="s">
        <v>43</v>
      </c>
      <c r="E892" s="43" t="s">
        <v>3425</v>
      </c>
      <c r="F892" s="44">
        <f t="shared" ref="F892:F983" si="43">counta(L892:M892)</f>
        <v>2</v>
      </c>
      <c r="G892" s="40" t="s">
        <v>3426</v>
      </c>
      <c r="H892" s="43"/>
      <c r="I892" s="7" t="str">
        <f>IFERROR(__xludf.DUMMYFUNCTION("regexreplace(lower(C892), ""_"", """")"),"mriinfarction")</f>
        <v>mriinfarction</v>
      </c>
      <c r="J892" s="9" t="b">
        <f t="shared" si="2"/>
        <v>1</v>
      </c>
      <c r="K892" s="7" t="str">
        <f>IFERROR(__xludf.DUMMYFUNCTION("regexreplace(G892, ""_"", """")"),"mriinfarction")</f>
        <v>mriinfarction</v>
      </c>
      <c r="L892" s="43" t="s">
        <v>3427</v>
      </c>
      <c r="M892" s="43" t="s">
        <v>3428</v>
      </c>
    </row>
    <row r="893">
      <c r="A893" s="43"/>
      <c r="B893" s="40" t="s">
        <v>2964</v>
      </c>
      <c r="C893" s="40" t="s">
        <v>3429</v>
      </c>
      <c r="D893" s="40" t="s">
        <v>43</v>
      </c>
      <c r="E893" s="43"/>
      <c r="F893" s="44">
        <f t="shared" si="43"/>
        <v>2</v>
      </c>
      <c r="G893" s="40" t="s">
        <v>3430</v>
      </c>
      <c r="H893" s="43"/>
      <c r="I893" s="7" t="str">
        <f>IFERROR(__xludf.DUMMYFUNCTION("regexreplace(lower(C893), ""_"", """")"),"mriinfarctionc")</f>
        <v>mriinfarctionc</v>
      </c>
      <c r="J893" s="9" t="b">
        <f t="shared" si="2"/>
        <v>1</v>
      </c>
      <c r="K893" s="7" t="str">
        <f>IFERROR(__xludf.DUMMYFUNCTION("regexreplace(G893, ""_"", """")"),"mriinfarctionc")</f>
        <v>mriinfarctionc</v>
      </c>
      <c r="L893" s="43" t="s">
        <v>3431</v>
      </c>
      <c r="M893" s="43" t="s">
        <v>3432</v>
      </c>
    </row>
    <row r="894">
      <c r="A894" s="43"/>
      <c r="B894" s="40" t="s">
        <v>2964</v>
      </c>
      <c r="C894" s="41" t="s">
        <v>3433</v>
      </c>
      <c r="D894" s="40" t="s">
        <v>43</v>
      </c>
      <c r="E894" s="43" t="s">
        <v>3434</v>
      </c>
      <c r="F894" s="44">
        <f t="shared" si="43"/>
        <v>2</v>
      </c>
      <c r="G894" s="41" t="s">
        <v>3435</v>
      </c>
      <c r="H894" s="43"/>
      <c r="I894" s="7" t="str">
        <f>IFERROR(__xludf.DUMMYFUNCTION("regexreplace(lower(C894), ""_"", """")"),"mriinfarctionarterialterritoryleft")</f>
        <v>mriinfarctionarterialterritoryleft</v>
      </c>
      <c r="J894" s="9" t="b">
        <f t="shared" si="2"/>
        <v>1</v>
      </c>
      <c r="K894" s="7" t="str">
        <f>IFERROR(__xludf.DUMMYFUNCTION("regexreplace(G894, ""_"", """")"),"mriinfarctionarterialterritoryleft")</f>
        <v>mriinfarctionarterialterritoryleft</v>
      </c>
      <c r="L894" s="43" t="s">
        <v>3436</v>
      </c>
      <c r="M894" s="43" t="s">
        <v>3437</v>
      </c>
    </row>
    <row r="895">
      <c r="A895" s="43"/>
      <c r="B895" s="40" t="s">
        <v>2964</v>
      </c>
      <c r="C895" s="41" t="s">
        <v>3438</v>
      </c>
      <c r="D895" s="40" t="s">
        <v>43</v>
      </c>
      <c r="E895" s="43"/>
      <c r="F895" s="44">
        <f t="shared" si="43"/>
        <v>1</v>
      </c>
      <c r="G895" s="41" t="s">
        <v>3439</v>
      </c>
      <c r="H895" s="43"/>
      <c r="I895" s="7" t="str">
        <f>IFERROR(__xludf.DUMMYFUNCTION("regexreplace(lower(C895), ""_"", """")"),"mriinfarctionarterialterritoryleftc")</f>
        <v>mriinfarctionarterialterritoryleftc</v>
      </c>
      <c r="J895" s="9" t="b">
        <f t="shared" si="2"/>
        <v>1</v>
      </c>
      <c r="K895" s="7" t="str">
        <f>IFERROR(__xludf.DUMMYFUNCTION("regexreplace(G895, ""_"", """")"),"mriinfarctionarterialterritoryleftc")</f>
        <v>mriinfarctionarterialterritoryleftc</v>
      </c>
      <c r="L895" s="43" t="s">
        <v>3440</v>
      </c>
      <c r="M895" s="43"/>
    </row>
    <row r="896">
      <c r="A896" s="43"/>
      <c r="B896" s="40" t="s">
        <v>2964</v>
      </c>
      <c r="C896" s="41" t="s">
        <v>3441</v>
      </c>
      <c r="D896" s="40" t="s">
        <v>43</v>
      </c>
      <c r="E896" s="43" t="s">
        <v>3442</v>
      </c>
      <c r="F896" s="44">
        <f t="shared" si="43"/>
        <v>2</v>
      </c>
      <c r="G896" s="41" t="s">
        <v>3443</v>
      </c>
      <c r="H896" s="43"/>
      <c r="I896" s="7" t="str">
        <f>IFERROR(__xludf.DUMMYFUNCTION("regexreplace(lower(C896), ""_"", """")"),"mriinfarctionarterialterritoryright")</f>
        <v>mriinfarctionarterialterritoryright</v>
      </c>
      <c r="J896" s="9" t="b">
        <f t="shared" si="2"/>
        <v>1</v>
      </c>
      <c r="K896" s="7" t="str">
        <f>IFERROR(__xludf.DUMMYFUNCTION("regexreplace(G896, ""_"", """")"),"mriinfarctionarterialterritoryright")</f>
        <v>mriinfarctionarterialterritoryright</v>
      </c>
      <c r="L896" s="43" t="s">
        <v>3444</v>
      </c>
      <c r="M896" s="43" t="s">
        <v>3445</v>
      </c>
    </row>
    <row r="897">
      <c r="A897" s="43"/>
      <c r="B897" s="40" t="s">
        <v>2964</v>
      </c>
      <c r="C897" s="41" t="s">
        <v>3446</v>
      </c>
      <c r="D897" s="40" t="s">
        <v>43</v>
      </c>
      <c r="E897" s="43"/>
      <c r="F897" s="44">
        <f t="shared" si="43"/>
        <v>1</v>
      </c>
      <c r="G897" s="41" t="s">
        <v>3447</v>
      </c>
      <c r="H897" s="43"/>
      <c r="I897" s="7" t="str">
        <f>IFERROR(__xludf.DUMMYFUNCTION("regexreplace(lower(C897), ""_"", """")"),"mriinfarctionarterialterritoryrightc")</f>
        <v>mriinfarctionarterialterritoryrightc</v>
      </c>
      <c r="J897" s="9" t="b">
        <f t="shared" si="2"/>
        <v>1</v>
      </c>
      <c r="K897" s="7" t="str">
        <f>IFERROR(__xludf.DUMMYFUNCTION("regexreplace(G897, ""_"", """")"),"mriinfarctionarterialterritoryrightc")</f>
        <v>mriinfarctionarterialterritoryrightc</v>
      </c>
      <c r="L897" s="43" t="s">
        <v>3448</v>
      </c>
      <c r="M897" s="43"/>
    </row>
    <row r="898">
      <c r="A898" s="43"/>
      <c r="B898" s="40" t="s">
        <v>2964</v>
      </c>
      <c r="C898" s="40" t="s">
        <v>3449</v>
      </c>
      <c r="D898" s="40" t="s">
        <v>43</v>
      </c>
      <c r="E898" s="43" t="s">
        <v>3450</v>
      </c>
      <c r="F898" s="44">
        <f t="shared" si="43"/>
        <v>1</v>
      </c>
      <c r="G898" s="40" t="s">
        <v>3451</v>
      </c>
      <c r="H898" s="43"/>
      <c r="I898" s="7" t="str">
        <f>IFERROR(__xludf.DUMMYFUNCTION("regexreplace(lower(C898), ""_"", """")"),"mriinfarctionwatershedleft")</f>
        <v>mriinfarctionwatershedleft</v>
      </c>
      <c r="J898" s="9" t="b">
        <f t="shared" si="2"/>
        <v>1</v>
      </c>
      <c r="K898" s="7" t="str">
        <f>IFERROR(__xludf.DUMMYFUNCTION("regexreplace(G898, ""_"", """")"),"mriinfarctionwatershedleft")</f>
        <v>mriinfarctionwatershedleft</v>
      </c>
      <c r="L898" s="43" t="s">
        <v>3452</v>
      </c>
      <c r="M898" s="43"/>
    </row>
    <row r="899">
      <c r="A899" s="43"/>
      <c r="B899" s="40" t="s">
        <v>2964</v>
      </c>
      <c r="C899" s="40" t="s">
        <v>3453</v>
      </c>
      <c r="D899" s="40" t="s">
        <v>43</v>
      </c>
      <c r="E899" s="43"/>
      <c r="F899" s="44">
        <f t="shared" si="43"/>
        <v>1</v>
      </c>
      <c r="G899" s="40" t="s">
        <v>3454</v>
      </c>
      <c r="H899" s="43"/>
      <c r="I899" s="7" t="str">
        <f>IFERROR(__xludf.DUMMYFUNCTION("regexreplace(lower(C899), ""_"", """")"),"mriinfarctionwatershedleftc")</f>
        <v>mriinfarctionwatershedleftc</v>
      </c>
      <c r="J899" s="9" t="b">
        <f t="shared" si="2"/>
        <v>1</v>
      </c>
      <c r="K899" s="7" t="str">
        <f>IFERROR(__xludf.DUMMYFUNCTION("regexreplace(G899, ""_"", """")"),"mriinfarctionwatershedleftc")</f>
        <v>mriinfarctionwatershedleftc</v>
      </c>
      <c r="L899" s="43" t="s">
        <v>3455</v>
      </c>
      <c r="M899" s="43"/>
    </row>
    <row r="900">
      <c r="A900" s="43"/>
      <c r="B900" s="40" t="s">
        <v>2964</v>
      </c>
      <c r="C900" s="40" t="s">
        <v>3456</v>
      </c>
      <c r="D900" s="40" t="s">
        <v>43</v>
      </c>
      <c r="E900" s="43" t="s">
        <v>3457</v>
      </c>
      <c r="F900" s="44">
        <f t="shared" si="43"/>
        <v>1</v>
      </c>
      <c r="G900" s="40" t="s">
        <v>3458</v>
      </c>
      <c r="H900" s="43"/>
      <c r="I900" s="7" t="str">
        <f>IFERROR(__xludf.DUMMYFUNCTION("regexreplace(lower(C900), ""_"", """")"),"mriinfarctionwatershedright")</f>
        <v>mriinfarctionwatershedright</v>
      </c>
      <c r="J900" s="9" t="b">
        <f t="shared" si="2"/>
        <v>1</v>
      </c>
      <c r="K900" s="7" t="str">
        <f>IFERROR(__xludf.DUMMYFUNCTION("regexreplace(G900, ""_"", """")"),"mriinfarctionwatershedright")</f>
        <v>mriinfarctionwatershedright</v>
      </c>
      <c r="L900" s="43" t="s">
        <v>3459</v>
      </c>
      <c r="M900" s="43"/>
    </row>
    <row r="901">
      <c r="A901" s="43"/>
      <c r="B901" s="40" t="s">
        <v>2964</v>
      </c>
      <c r="C901" s="40" t="s">
        <v>3460</v>
      </c>
      <c r="D901" s="40" t="s">
        <v>43</v>
      </c>
      <c r="E901" s="43"/>
      <c r="F901" s="44">
        <f t="shared" si="43"/>
        <v>1</v>
      </c>
      <c r="G901" s="40" t="s">
        <v>3461</v>
      </c>
      <c r="H901" s="43"/>
      <c r="I901" s="7" t="str">
        <f>IFERROR(__xludf.DUMMYFUNCTION("regexreplace(lower(C901), ""_"", """")"),"mriinfarctionwatershedrightc")</f>
        <v>mriinfarctionwatershedrightc</v>
      </c>
      <c r="J901" s="9" t="b">
        <f t="shared" si="2"/>
        <v>1</v>
      </c>
      <c r="K901" s="7" t="str">
        <f>IFERROR(__xludf.DUMMYFUNCTION("regexreplace(G901, ""_"", """")"),"mriinfarctionwatershedrightc")</f>
        <v>mriinfarctionwatershedrightc</v>
      </c>
      <c r="L901" s="43" t="s">
        <v>3462</v>
      </c>
      <c r="M901" s="43"/>
    </row>
    <row r="902">
      <c r="A902" s="43"/>
      <c r="B902" s="40" t="s">
        <v>2964</v>
      </c>
      <c r="C902" s="40" t="s">
        <v>3463</v>
      </c>
      <c r="D902" s="40" t="s">
        <v>43</v>
      </c>
      <c r="E902" s="43" t="s">
        <v>3464</v>
      </c>
      <c r="F902" s="44">
        <f t="shared" si="43"/>
        <v>2</v>
      </c>
      <c r="G902" s="40" t="s">
        <v>3465</v>
      </c>
      <c r="H902" s="43"/>
      <c r="I902" s="7" t="str">
        <f>IFERROR(__xludf.DUMMYFUNCTION("regexreplace(lower(C902), ""_"", """")"),"mrimidlineshift")</f>
        <v>mrimidlineshift</v>
      </c>
      <c r="J902" s="9" t="b">
        <f t="shared" si="2"/>
        <v>1</v>
      </c>
      <c r="K902" s="7" t="str">
        <f>IFERROR(__xludf.DUMMYFUNCTION("regexreplace(G902, ""_"", """")"),"mrimidlineshift")</f>
        <v>mrimidlineshift</v>
      </c>
      <c r="L902" s="43" t="s">
        <v>3466</v>
      </c>
      <c r="M902" s="43" t="s">
        <v>3467</v>
      </c>
    </row>
    <row r="903">
      <c r="A903" s="43"/>
      <c r="B903" s="40" t="s">
        <v>2964</v>
      </c>
      <c r="C903" s="40" t="s">
        <v>3468</v>
      </c>
      <c r="D903" s="40" t="s">
        <v>43</v>
      </c>
      <c r="E903" s="43"/>
      <c r="F903" s="44">
        <f t="shared" si="43"/>
        <v>2</v>
      </c>
      <c r="G903" s="40" t="s">
        <v>3469</v>
      </c>
      <c r="H903" s="43"/>
      <c r="I903" s="7" t="str">
        <f>IFERROR(__xludf.DUMMYFUNCTION("regexreplace(lower(C903), ""_"", """")"),"mrimidlineshiftc")</f>
        <v>mrimidlineshiftc</v>
      </c>
      <c r="J903" s="9" t="b">
        <f t="shared" si="2"/>
        <v>1</v>
      </c>
      <c r="K903" s="7" t="str">
        <f>IFERROR(__xludf.DUMMYFUNCTION("regexreplace(G903, ""_"", """")"),"mrimidlineshiftc")</f>
        <v>mrimidlineshiftc</v>
      </c>
      <c r="L903" s="43" t="s">
        <v>3470</v>
      </c>
      <c r="M903" s="43" t="s">
        <v>3471</v>
      </c>
    </row>
    <row r="904">
      <c r="A904" s="43"/>
      <c r="B904" s="40" t="s">
        <v>2964</v>
      </c>
      <c r="C904" s="40" t="s">
        <v>3472</v>
      </c>
      <c r="D904" s="40" t="s">
        <v>3397</v>
      </c>
      <c r="E904" s="43" t="s">
        <v>3473</v>
      </c>
      <c r="F904" s="44">
        <f t="shared" si="43"/>
        <v>2</v>
      </c>
      <c r="G904" s="40" t="s">
        <v>3474</v>
      </c>
      <c r="H904" s="43"/>
      <c r="I904" s="7" t="str">
        <f>IFERROR(__xludf.DUMMYFUNCTION("regexreplace(lower(C904), ""_"", """")"),"mribgt")</f>
        <v>mribgt</v>
      </c>
      <c r="J904" s="9" t="b">
        <f t="shared" si="2"/>
        <v>1</v>
      </c>
      <c r="K904" s="7" t="str">
        <f>IFERROR(__xludf.DUMMYFUNCTION("regexreplace(G904, ""_"", """")"),"mribgt")</f>
        <v>mribgt</v>
      </c>
      <c r="L904" s="43" t="s">
        <v>3475</v>
      </c>
      <c r="M904" s="43" t="s">
        <v>3476</v>
      </c>
    </row>
    <row r="905">
      <c r="A905" s="43"/>
      <c r="B905" s="40" t="s">
        <v>2964</v>
      </c>
      <c r="C905" s="40" t="s">
        <v>3477</v>
      </c>
      <c r="D905" s="40" t="s">
        <v>3397</v>
      </c>
      <c r="E905" s="43"/>
      <c r="F905" s="44">
        <f t="shared" si="43"/>
        <v>2</v>
      </c>
      <c r="G905" s="40" t="s">
        <v>3478</v>
      </c>
      <c r="H905" s="43"/>
      <c r="I905" s="7" t="str">
        <f>IFERROR(__xludf.DUMMYFUNCTION("regexreplace(lower(C905), ""_"", """")"),"mribgtc")</f>
        <v>mribgtc</v>
      </c>
      <c r="J905" s="9" t="b">
        <f t="shared" si="2"/>
        <v>1</v>
      </c>
      <c r="K905" s="7" t="str">
        <f>IFERROR(__xludf.DUMMYFUNCTION("regexreplace(G905, ""_"", """")"),"mribgtc")</f>
        <v>mribgtc</v>
      </c>
      <c r="L905" s="43" t="s">
        <v>3479</v>
      </c>
      <c r="M905" s="43" t="s">
        <v>3480</v>
      </c>
    </row>
    <row r="906">
      <c r="A906" s="43"/>
      <c r="B906" s="40" t="s">
        <v>2964</v>
      </c>
      <c r="C906" s="40" t="s">
        <v>3481</v>
      </c>
      <c r="D906" s="40" t="s">
        <v>3482</v>
      </c>
      <c r="E906" s="43" t="s">
        <v>3483</v>
      </c>
      <c r="F906" s="44">
        <f t="shared" si="43"/>
        <v>2</v>
      </c>
      <c r="G906" s="40" t="s">
        <v>3484</v>
      </c>
      <c r="H906" s="43"/>
      <c r="I906" s="7" t="str">
        <f>IFERROR(__xludf.DUMMYFUNCTION("regexreplace(lower(C906), ""_"", """")"),"mriplic")</f>
        <v>mriplic</v>
      </c>
      <c r="J906" s="9" t="b">
        <f t="shared" si="2"/>
        <v>1</v>
      </c>
      <c r="K906" s="7" t="str">
        <f>IFERROR(__xludf.DUMMYFUNCTION("regexreplace(G906, ""_"", """")"),"mriplic")</f>
        <v>mriplic</v>
      </c>
      <c r="L906" s="43" t="s">
        <v>3485</v>
      </c>
      <c r="M906" s="43" t="s">
        <v>3486</v>
      </c>
    </row>
    <row r="907">
      <c r="A907" s="43"/>
      <c r="B907" s="40" t="s">
        <v>2964</v>
      </c>
      <c r="C907" s="40" t="s">
        <v>3487</v>
      </c>
      <c r="D907" s="40" t="s">
        <v>3482</v>
      </c>
      <c r="E907" s="43"/>
      <c r="F907" s="44">
        <f t="shared" si="43"/>
        <v>2</v>
      </c>
      <c r="G907" s="40" t="s">
        <v>3488</v>
      </c>
      <c r="H907" s="43"/>
      <c r="I907" s="7" t="str">
        <f>IFERROR(__xludf.DUMMYFUNCTION("regexreplace(lower(C907), ""_"", """")"),"mriplicc")</f>
        <v>mriplicc</v>
      </c>
      <c r="J907" s="9" t="b">
        <f t="shared" si="2"/>
        <v>1</v>
      </c>
      <c r="K907" s="7" t="str">
        <f>IFERROR(__xludf.DUMMYFUNCTION("regexreplace(G907, ""_"", """")"),"mriplicc")</f>
        <v>mriplicc</v>
      </c>
      <c r="L907" s="43" t="s">
        <v>3489</v>
      </c>
      <c r="M907" s="43" t="s">
        <v>3490</v>
      </c>
    </row>
    <row r="908">
      <c r="A908" s="43"/>
      <c r="B908" s="40" t="s">
        <v>2964</v>
      </c>
      <c r="C908" s="40" t="s">
        <v>3491</v>
      </c>
      <c r="D908" s="40" t="s">
        <v>3482</v>
      </c>
      <c r="E908" s="43" t="s">
        <v>3492</v>
      </c>
      <c r="F908" s="44">
        <f t="shared" si="43"/>
        <v>1</v>
      </c>
      <c r="G908" s="40" t="s">
        <v>3493</v>
      </c>
      <c r="H908" s="43"/>
      <c r="I908" s="7" t="str">
        <f>IFERROR(__xludf.DUMMYFUNCTION("regexreplace(lower(C908), ""_"", """")"),"mrialic")</f>
        <v>mrialic</v>
      </c>
      <c r="J908" s="9" t="b">
        <f t="shared" si="2"/>
        <v>1</v>
      </c>
      <c r="K908" s="7" t="str">
        <f>IFERROR(__xludf.DUMMYFUNCTION("regexreplace(G908, ""_"", """")"),"mrialic")</f>
        <v>mrialic</v>
      </c>
      <c r="L908" s="43" t="s">
        <v>3494</v>
      </c>
      <c r="M908" s="43"/>
    </row>
    <row r="909">
      <c r="A909" s="43"/>
      <c r="B909" s="40" t="s">
        <v>2964</v>
      </c>
      <c r="C909" s="40" t="s">
        <v>3495</v>
      </c>
      <c r="D909" s="40" t="s">
        <v>3482</v>
      </c>
      <c r="E909" s="43"/>
      <c r="F909" s="44">
        <f t="shared" si="43"/>
        <v>1</v>
      </c>
      <c r="G909" s="40" t="s">
        <v>3496</v>
      </c>
      <c r="H909" s="43"/>
      <c r="I909" s="7" t="str">
        <f>IFERROR(__xludf.DUMMYFUNCTION("regexreplace(lower(C909), ""_"", """")"),"mrialicc")</f>
        <v>mrialicc</v>
      </c>
      <c r="J909" s="9" t="b">
        <f t="shared" si="2"/>
        <v>1</v>
      </c>
      <c r="K909" s="7" t="str">
        <f>IFERROR(__xludf.DUMMYFUNCTION("regexreplace(G909, ""_"", """")"),"mrialicc")</f>
        <v>mrialicc</v>
      </c>
      <c r="L909" s="43" t="s">
        <v>3497</v>
      </c>
      <c r="M909" s="43"/>
    </row>
    <row r="910">
      <c r="A910" s="43"/>
      <c r="B910" s="40" t="s">
        <v>2964</v>
      </c>
      <c r="C910" s="40" t="s">
        <v>3498</v>
      </c>
      <c r="D910" s="40" t="s">
        <v>3397</v>
      </c>
      <c r="E910" s="43" t="s">
        <v>3499</v>
      </c>
      <c r="F910" s="44">
        <f t="shared" si="43"/>
        <v>2</v>
      </c>
      <c r="G910" s="40" t="s">
        <v>3500</v>
      </c>
      <c r="H910" s="43"/>
      <c r="I910" s="7" t="str">
        <f>IFERROR(__xludf.DUMMYFUNCTION("regexreplace(lower(C910), ""_"", """")"),"mriwatershed")</f>
        <v>mriwatershed</v>
      </c>
      <c r="J910" s="9" t="b">
        <f t="shared" si="2"/>
        <v>1</v>
      </c>
      <c r="K910" s="7" t="str">
        <f>IFERROR(__xludf.DUMMYFUNCTION("regexreplace(G910, ""_"", """")"),"mriwatershed")</f>
        <v>mriwatershed</v>
      </c>
      <c r="L910" s="43" t="s">
        <v>3501</v>
      </c>
      <c r="M910" s="43" t="s">
        <v>3502</v>
      </c>
    </row>
    <row r="911">
      <c r="A911" s="43"/>
      <c r="B911" s="40" t="s">
        <v>2964</v>
      </c>
      <c r="C911" s="40" t="s">
        <v>3503</v>
      </c>
      <c r="D911" s="40" t="s">
        <v>3397</v>
      </c>
      <c r="E911" s="43"/>
      <c r="F911" s="44">
        <f t="shared" si="43"/>
        <v>2</v>
      </c>
      <c r="G911" s="40" t="s">
        <v>3504</v>
      </c>
      <c r="H911" s="43"/>
      <c r="I911" s="7" t="str">
        <f>IFERROR(__xludf.DUMMYFUNCTION("regexreplace(lower(C911), ""_"", """")"),"mriwatershedc")</f>
        <v>mriwatershedc</v>
      </c>
      <c r="J911" s="9" t="b">
        <f t="shared" si="2"/>
        <v>1</v>
      </c>
      <c r="K911" s="7" t="str">
        <f>IFERROR(__xludf.DUMMYFUNCTION("regexreplace(G911, ""_"", """")"),"mriwatershedc")</f>
        <v>mriwatershedc</v>
      </c>
      <c r="L911" s="43" t="s">
        <v>3505</v>
      </c>
      <c r="M911" s="43" t="s">
        <v>3506</v>
      </c>
    </row>
    <row r="912">
      <c r="A912" s="43"/>
      <c r="B912" s="40" t="s">
        <v>2964</v>
      </c>
      <c r="C912" s="40" t="s">
        <v>3507</v>
      </c>
      <c r="D912" s="40" t="s">
        <v>3508</v>
      </c>
      <c r="E912" s="43" t="s">
        <v>3509</v>
      </c>
      <c r="F912" s="44">
        <f t="shared" si="43"/>
        <v>2</v>
      </c>
      <c r="G912" s="40" t="s">
        <v>3510</v>
      </c>
      <c r="H912" s="43"/>
      <c r="I912" s="7" t="str">
        <f>IFERROR(__xludf.DUMMYFUNCTION("regexreplace(lower(C912), ""_"", """")"),"mriwhitematterinjury")</f>
        <v>mriwhitematterinjury</v>
      </c>
      <c r="J912" s="9" t="b">
        <f t="shared" si="2"/>
        <v>1</v>
      </c>
      <c r="K912" s="7" t="str">
        <f>IFERROR(__xludf.DUMMYFUNCTION("regexreplace(G912, ""_"", """")"),"mriwhitematterinjury")</f>
        <v>mriwhitematterinjury</v>
      </c>
      <c r="L912" s="43" t="s">
        <v>3511</v>
      </c>
      <c r="M912" s="43" t="s">
        <v>3512</v>
      </c>
    </row>
    <row r="913">
      <c r="A913" s="43"/>
      <c r="B913" s="40" t="s">
        <v>2964</v>
      </c>
      <c r="C913" s="40" t="s">
        <v>3513</v>
      </c>
      <c r="D913" s="40" t="s">
        <v>3508</v>
      </c>
      <c r="E913" s="43"/>
      <c r="F913" s="44">
        <f t="shared" si="43"/>
        <v>2</v>
      </c>
      <c r="G913" s="40" t="s">
        <v>3514</v>
      </c>
      <c r="H913" s="43"/>
      <c r="I913" s="7" t="str">
        <f>IFERROR(__xludf.DUMMYFUNCTION("regexreplace(lower(C913), ""_"", """")"),"mriwhitematterinjuryc")</f>
        <v>mriwhitematterinjuryc</v>
      </c>
      <c r="J913" s="9" t="b">
        <f t="shared" si="2"/>
        <v>1</v>
      </c>
      <c r="K913" s="7" t="str">
        <f>IFERROR(__xludf.DUMMYFUNCTION("regexreplace(G913, ""_"", """")"),"mriwhitematterinjuryc")</f>
        <v>mriwhitematterinjuryc</v>
      </c>
      <c r="L913" s="43" t="s">
        <v>3515</v>
      </c>
      <c r="M913" s="43" t="s">
        <v>3516</v>
      </c>
    </row>
    <row r="914">
      <c r="A914" s="43"/>
      <c r="B914" s="40" t="s">
        <v>2964</v>
      </c>
      <c r="C914" s="40" t="s">
        <v>3517</v>
      </c>
      <c r="D914" s="40" t="s">
        <v>3508</v>
      </c>
      <c r="E914" s="43" t="s">
        <v>3518</v>
      </c>
      <c r="F914" s="44">
        <f t="shared" si="43"/>
        <v>1</v>
      </c>
      <c r="G914" s="40" t="s">
        <v>3519</v>
      </c>
      <c r="H914" s="43"/>
      <c r="I914" s="7" t="str">
        <f>IFERROR(__xludf.DUMMYFUNCTION("regexreplace(lower(C914), ""_"", """")"),"mrifocalcorticalinjury")</f>
        <v>mrifocalcorticalinjury</v>
      </c>
      <c r="J914" s="9" t="b">
        <f t="shared" si="2"/>
        <v>1</v>
      </c>
      <c r="K914" s="7" t="str">
        <f>IFERROR(__xludf.DUMMYFUNCTION("regexreplace(G914, ""_"", """")"),"mrifocalcorticalinjury")</f>
        <v>mrifocalcorticalinjury</v>
      </c>
      <c r="L914" s="43" t="s">
        <v>3520</v>
      </c>
      <c r="M914" s="43"/>
    </row>
    <row r="915">
      <c r="A915" s="43"/>
      <c r="B915" s="40" t="s">
        <v>2964</v>
      </c>
      <c r="C915" s="40" t="s">
        <v>3521</v>
      </c>
      <c r="D915" s="40" t="s">
        <v>3508</v>
      </c>
      <c r="E915" s="43"/>
      <c r="F915" s="44">
        <f t="shared" si="43"/>
        <v>1</v>
      </c>
      <c r="G915" s="40" t="s">
        <v>3522</v>
      </c>
      <c r="H915" s="43"/>
      <c r="I915" s="7" t="str">
        <f>IFERROR(__xludf.DUMMYFUNCTION("regexreplace(lower(C915), ""_"", """")"),"mrifocalcorticalinjuryc")</f>
        <v>mrifocalcorticalinjuryc</v>
      </c>
      <c r="J915" s="9" t="b">
        <f t="shared" si="2"/>
        <v>1</v>
      </c>
      <c r="K915" s="7" t="str">
        <f>IFERROR(__xludf.DUMMYFUNCTION("regexreplace(G915, ""_"", """")"),"mrifocalcorticalinjuryc")</f>
        <v>mrifocalcorticalinjuryc</v>
      </c>
      <c r="L915" s="43" t="s">
        <v>3523</v>
      </c>
      <c r="M915" s="43"/>
    </row>
    <row r="916">
      <c r="A916" s="43"/>
      <c r="B916" s="40" t="s">
        <v>2964</v>
      </c>
      <c r="C916" s="40" t="s">
        <v>3026</v>
      </c>
      <c r="D916" s="40" t="s">
        <v>3026</v>
      </c>
      <c r="E916" s="43" t="s">
        <v>3524</v>
      </c>
      <c r="F916" s="44">
        <f t="shared" si="43"/>
        <v>2</v>
      </c>
      <c r="G916" s="40" t="s">
        <v>3525</v>
      </c>
      <c r="H916" s="43"/>
      <c r="I916" s="7" t="str">
        <f>IFERROR(__xludf.DUMMYFUNCTION("regexreplace(lower(C916), ""_"", """")"),"mrinrnpatternofinjury")</f>
        <v>mrinrnpatternofinjury</v>
      </c>
      <c r="J916" s="9" t="b">
        <f t="shared" si="2"/>
        <v>1</v>
      </c>
      <c r="K916" s="7" t="str">
        <f>IFERROR(__xludf.DUMMYFUNCTION("regexreplace(G916, ""_"", """")"),"mrinrnpatternofinjury")</f>
        <v>mrinrnpatternofinjury</v>
      </c>
      <c r="L916" s="43" t="s">
        <v>3526</v>
      </c>
      <c r="M916" s="43" t="s">
        <v>3527</v>
      </c>
    </row>
    <row r="917">
      <c r="A917" s="43"/>
      <c r="B917" s="40" t="s">
        <v>2964</v>
      </c>
      <c r="C917" s="40" t="s">
        <v>3528</v>
      </c>
      <c r="D917" s="40" t="s">
        <v>3026</v>
      </c>
      <c r="E917" s="43"/>
      <c r="F917" s="44">
        <f t="shared" si="43"/>
        <v>2</v>
      </c>
      <c r="G917" s="40" t="s">
        <v>3529</v>
      </c>
      <c r="H917" s="43"/>
      <c r="I917" s="7" t="str">
        <f>IFERROR(__xludf.DUMMYFUNCTION("regexreplace(lower(C917), ""_"", """")"),"mrinrnpatternofinjuryc")</f>
        <v>mrinrnpatternofinjuryc</v>
      </c>
      <c r="J917" s="9" t="b">
        <f t="shared" si="2"/>
        <v>1</v>
      </c>
      <c r="K917" s="7" t="str">
        <f>IFERROR(__xludf.DUMMYFUNCTION("regexreplace(G917, ""_"", """")"),"mrinrnpatternofinjuryc")</f>
        <v>mrinrnpatternofinjuryc</v>
      </c>
      <c r="L917" s="43" t="s">
        <v>3530</v>
      </c>
      <c r="M917" s="43" t="s">
        <v>3531</v>
      </c>
    </row>
    <row r="918">
      <c r="A918" s="43"/>
      <c r="B918" s="40" t="s">
        <v>2964</v>
      </c>
      <c r="C918" s="40" t="s">
        <v>3532</v>
      </c>
      <c r="D918" s="40" t="s">
        <v>3532</v>
      </c>
      <c r="E918" s="43" t="s">
        <v>3533</v>
      </c>
      <c r="F918" s="44">
        <f t="shared" si="43"/>
        <v>1</v>
      </c>
      <c r="G918" s="40" t="s">
        <v>3534</v>
      </c>
      <c r="H918" s="43"/>
      <c r="I918" s="7" t="str">
        <f>IFERROR(__xludf.DUMMYFUNCTION("regexreplace(lower(C918), ""_"", """")"),"mrinrnpatternofinjuryextent")</f>
        <v>mrinrnpatternofinjuryextent</v>
      </c>
      <c r="J918" s="9" t="b">
        <f t="shared" si="2"/>
        <v>1</v>
      </c>
      <c r="K918" s="7" t="str">
        <f>IFERROR(__xludf.DUMMYFUNCTION("regexreplace(G918, ""_"", """")"),"mrinrnpatternofinjuryextent")</f>
        <v>mrinrnpatternofinjuryextent</v>
      </c>
      <c r="L918" s="43"/>
      <c r="M918" s="43" t="s">
        <v>3535</v>
      </c>
    </row>
    <row r="919">
      <c r="A919" s="43"/>
      <c r="B919" s="40" t="s">
        <v>2964</v>
      </c>
      <c r="C919" s="40" t="s">
        <v>3536</v>
      </c>
      <c r="D919" s="40" t="s">
        <v>3532</v>
      </c>
      <c r="E919" s="43"/>
      <c r="F919" s="44">
        <f t="shared" si="43"/>
        <v>1</v>
      </c>
      <c r="G919" s="40" t="s">
        <v>3537</v>
      </c>
      <c r="H919" s="43"/>
      <c r="I919" s="7" t="str">
        <f>IFERROR(__xludf.DUMMYFUNCTION("regexreplace(lower(C919), ""_"", """")"),"mrinrnpatternofinjuryextentc")</f>
        <v>mrinrnpatternofinjuryextentc</v>
      </c>
      <c r="J919" s="9" t="b">
        <f t="shared" si="2"/>
        <v>1</v>
      </c>
      <c r="K919" s="7" t="str">
        <f>IFERROR(__xludf.DUMMYFUNCTION("regexreplace(G919, ""_"", """")"),"mrinrnpatternofinjuryextentc")</f>
        <v>mrinrnpatternofinjuryextentc</v>
      </c>
      <c r="L919" s="43"/>
      <c r="M919" s="43" t="s">
        <v>3538</v>
      </c>
    </row>
    <row r="920">
      <c r="A920" s="43"/>
      <c r="B920" s="40" t="s">
        <v>2964</v>
      </c>
      <c r="C920" s="40" t="s">
        <v>3539</v>
      </c>
      <c r="D920" s="40" t="s">
        <v>3539</v>
      </c>
      <c r="E920" s="43" t="s">
        <v>3540</v>
      </c>
      <c r="F920" s="44">
        <f t="shared" si="43"/>
        <v>1</v>
      </c>
      <c r="G920" s="40" t="s">
        <v>3541</v>
      </c>
      <c r="H920" s="43"/>
      <c r="I920" s="7" t="str">
        <f>IFERROR(__xludf.DUMMYFUNCTION("regexreplace(lower(C920), ""_"", """")"),"mrinrnpatternofinjurylateral")</f>
        <v>mrinrnpatternofinjurylateral</v>
      </c>
      <c r="J920" s="9" t="b">
        <f t="shared" si="2"/>
        <v>1</v>
      </c>
      <c r="K920" s="7" t="str">
        <f>IFERROR(__xludf.DUMMYFUNCTION("regexreplace(G920, ""_"", """")"),"mrinrnpatternofinjurylateral")</f>
        <v>mrinrnpatternofinjurylateral</v>
      </c>
      <c r="L920" s="43"/>
      <c r="M920" s="43" t="s">
        <v>3542</v>
      </c>
    </row>
    <row r="921">
      <c r="A921" s="43"/>
      <c r="B921" s="40" t="s">
        <v>2964</v>
      </c>
      <c r="C921" s="40" t="s">
        <v>3543</v>
      </c>
      <c r="D921" s="40" t="s">
        <v>3539</v>
      </c>
      <c r="E921" s="43"/>
      <c r="F921" s="44">
        <f t="shared" si="43"/>
        <v>1</v>
      </c>
      <c r="G921" s="40" t="s">
        <v>3544</v>
      </c>
      <c r="H921" s="43"/>
      <c r="I921" s="7" t="str">
        <f>IFERROR(__xludf.DUMMYFUNCTION("regexreplace(lower(C921), ""_"", """")"),"mrinrnpatternofinjurylateralc")</f>
        <v>mrinrnpatternofinjurylateralc</v>
      </c>
      <c r="J921" s="9" t="b">
        <f t="shared" si="2"/>
        <v>1</v>
      </c>
      <c r="K921" s="7" t="str">
        <f>IFERROR(__xludf.DUMMYFUNCTION("regexreplace(G921, ""_"", """")"),"mrinrnpatternofinjurylateralc")</f>
        <v>mrinrnpatternofinjurylateralc</v>
      </c>
      <c r="L921" s="43"/>
      <c r="M921" s="43" t="s">
        <v>3545</v>
      </c>
    </row>
    <row r="922">
      <c r="A922" s="43"/>
      <c r="B922" s="40" t="s">
        <v>2964</v>
      </c>
      <c r="C922" s="40" t="s">
        <v>3546</v>
      </c>
      <c r="D922" s="40" t="s">
        <v>19</v>
      </c>
      <c r="E922" s="43" t="s">
        <v>3547</v>
      </c>
      <c r="F922" s="44">
        <f t="shared" si="43"/>
        <v>2</v>
      </c>
      <c r="G922" s="40" t="s">
        <v>3548</v>
      </c>
      <c r="H922" s="43"/>
      <c r="I922" s="7" t="str">
        <f>IFERROR(__xludf.DUMMYFUNCTION("regexreplace(lower(C922), ""_"", """")"),"mricomment")</f>
        <v>mricomment</v>
      </c>
      <c r="J922" s="9" t="b">
        <f t="shared" si="2"/>
        <v>1</v>
      </c>
      <c r="K922" s="7" t="str">
        <f>IFERROR(__xludf.DUMMYFUNCTION("regexreplace(G922, ""_"", """")"),"mricomment")</f>
        <v>mricomment</v>
      </c>
      <c r="L922" s="43" t="s">
        <v>3549</v>
      </c>
      <c r="M922" s="43" t="s">
        <v>3550</v>
      </c>
    </row>
    <row r="923">
      <c r="A923" s="43"/>
      <c r="B923" s="40" t="s">
        <v>2964</v>
      </c>
      <c r="C923" s="40" t="s">
        <v>3551</v>
      </c>
      <c r="D923" s="40" t="s">
        <v>3026</v>
      </c>
      <c r="E923" s="43"/>
      <c r="F923" s="44">
        <f t="shared" si="43"/>
        <v>0</v>
      </c>
      <c r="G923" s="40" t="s">
        <v>3552</v>
      </c>
      <c r="H923" s="43"/>
      <c r="I923" s="7" t="str">
        <f>IFERROR(__xludf.DUMMYFUNCTION("regexreplace(lower(C923), ""_"", """")"),"mrinrnpatternofinjurymerge")</f>
        <v>mrinrnpatternofinjurymerge</v>
      </c>
      <c r="J923" s="9" t="b">
        <f t="shared" si="2"/>
        <v>1</v>
      </c>
      <c r="K923" s="7" t="str">
        <f>IFERROR(__xludf.DUMMYFUNCTION("regexreplace(G923, ""_"", """")"),"mrinrnpatternofinjurymerge")</f>
        <v>mrinrnpatternofinjurymerge</v>
      </c>
      <c r="L923" s="43"/>
      <c r="M923" s="43"/>
    </row>
    <row r="924">
      <c r="A924" s="43"/>
      <c r="B924" s="40" t="s">
        <v>2964</v>
      </c>
      <c r="C924" s="40" t="s">
        <v>3553</v>
      </c>
      <c r="D924" s="43" t="s">
        <v>154</v>
      </c>
      <c r="E924" s="43"/>
      <c r="F924" s="44">
        <f t="shared" si="43"/>
        <v>0</v>
      </c>
      <c r="G924" s="40" t="s">
        <v>3554</v>
      </c>
      <c r="H924" s="43"/>
      <c r="I924" s="7" t="str">
        <f>IFERROR(__xludf.DUMMYFUNCTION("regexreplace(lower(C924), ""_"", """")"),"mrinrnpatternofinjuryavg")</f>
        <v>mrinrnpatternofinjuryavg</v>
      </c>
      <c r="J924" s="9" t="b">
        <f t="shared" si="2"/>
        <v>1</v>
      </c>
      <c r="K924" s="7" t="str">
        <f>IFERROR(__xludf.DUMMYFUNCTION("regexreplace(G924, ""_"", """")"),"mrinrnpatternofinjuryavg")</f>
        <v>mrinrnpatternofinjuryavg</v>
      </c>
      <c r="L924" s="43"/>
      <c r="M924" s="43"/>
    </row>
    <row r="925">
      <c r="A925" s="43"/>
      <c r="B925" s="40" t="s">
        <v>2964</v>
      </c>
      <c r="C925" s="40" t="s">
        <v>3555</v>
      </c>
      <c r="D925" s="43" t="s">
        <v>154</v>
      </c>
      <c r="E925" s="43"/>
      <c r="F925" s="44">
        <f t="shared" si="43"/>
        <v>0</v>
      </c>
      <c r="G925" s="40" t="s">
        <v>3556</v>
      </c>
      <c r="H925" s="43"/>
      <c r="I925" s="7" t="str">
        <f>IFERROR(__xludf.DUMMYFUNCTION("regexreplace(lower(C925), ""_"", """")"),"mrinrnpatternofinjurymax")</f>
        <v>mrinrnpatternofinjurymax</v>
      </c>
      <c r="J925" s="9" t="b">
        <f t="shared" si="2"/>
        <v>1</v>
      </c>
      <c r="K925" s="7" t="str">
        <f>IFERROR(__xludf.DUMMYFUNCTION("regexreplace(G925, ""_"", """")"),"mrinrnpatternofinjurymax")</f>
        <v>mrinrnpatternofinjurymax</v>
      </c>
      <c r="L925" s="43"/>
      <c r="M925" s="43"/>
    </row>
    <row r="926">
      <c r="A926" s="43"/>
      <c r="B926" s="40" t="s">
        <v>2964</v>
      </c>
      <c r="C926" s="40" t="s">
        <v>3557</v>
      </c>
      <c r="D926" s="40" t="s">
        <v>3557</v>
      </c>
      <c r="E926" s="51" t="s">
        <v>3558</v>
      </c>
      <c r="F926" s="44">
        <f t="shared" si="43"/>
        <v>2</v>
      </c>
      <c r="G926" s="40" t="s">
        <v>3559</v>
      </c>
      <c r="H926" s="43"/>
      <c r="I926" s="7" t="str">
        <f>IFERROR(__xludf.DUMMYFUNCTION("regexreplace(lower(C926), ""_"", """")"),"mri2levelpatternofinjury")</f>
        <v>mri2levelpatternofinjury</v>
      </c>
      <c r="J926" s="9" t="b">
        <f t="shared" si="2"/>
        <v>1</v>
      </c>
      <c r="K926" s="7" t="str">
        <f>IFERROR(__xludf.DUMMYFUNCTION("regexreplace(G926, ""_"", """")"),"mri2levelpatternofinjury")</f>
        <v>mri2levelpatternofinjury</v>
      </c>
      <c r="L926" s="52" t="s">
        <v>3560</v>
      </c>
      <c r="M926" s="52" t="s">
        <v>3561</v>
      </c>
    </row>
    <row r="927">
      <c r="A927" s="43"/>
      <c r="B927" s="40" t="s">
        <v>2964</v>
      </c>
      <c r="C927" s="40" t="s">
        <v>3562</v>
      </c>
      <c r="D927" s="40" t="s">
        <v>34</v>
      </c>
      <c r="E927" s="51" t="s">
        <v>3563</v>
      </c>
      <c r="F927" s="44">
        <f t="shared" si="43"/>
        <v>2</v>
      </c>
      <c r="G927" s="40" t="s">
        <v>3564</v>
      </c>
      <c r="H927" s="43"/>
      <c r="I927" s="7" t="str">
        <f>IFERROR(__xludf.DUMMYFUNCTION("regexreplace(lower(C927), ""_"", """")"),"mriageday")</f>
        <v>mriageday</v>
      </c>
      <c r="J927" s="9" t="b">
        <f t="shared" si="2"/>
        <v>1</v>
      </c>
      <c r="K927" s="7" t="str">
        <f>IFERROR(__xludf.DUMMYFUNCTION("regexreplace(G927, ""_"", """")"),"mriageday")</f>
        <v>mriageday</v>
      </c>
      <c r="L927" s="52" t="s">
        <v>3565</v>
      </c>
      <c r="M927" s="52" t="s">
        <v>3566</v>
      </c>
    </row>
    <row r="928">
      <c r="A928" s="43"/>
      <c r="B928" s="40" t="s">
        <v>2964</v>
      </c>
      <c r="C928" s="41" t="s">
        <v>3567</v>
      </c>
      <c r="D928" s="40" t="s">
        <v>3261</v>
      </c>
      <c r="E928" s="51" t="s">
        <v>3568</v>
      </c>
      <c r="F928" s="44">
        <f t="shared" si="43"/>
        <v>1</v>
      </c>
      <c r="G928" s="41" t="s">
        <v>3569</v>
      </c>
      <c r="H928" s="43"/>
      <c r="I928" s="7" t="str">
        <f>IFERROR(__xludf.DUMMYFUNCTION("regexreplace(lower(C928), ""_"", """")"),"mrioveralldiagnosismerge")</f>
        <v>mrioveralldiagnosismerge</v>
      </c>
      <c r="J928" s="9" t="b">
        <f t="shared" si="2"/>
        <v>1</v>
      </c>
      <c r="K928" s="7" t="str">
        <f>IFERROR(__xludf.DUMMYFUNCTION("regexreplace(G928, ""_"", """")"),"mrioveralldiagnosismerge")</f>
        <v>mrioveralldiagnosismerge</v>
      </c>
      <c r="L928" s="43"/>
      <c r="M928" s="52" t="s">
        <v>3570</v>
      </c>
    </row>
    <row r="929">
      <c r="A929" s="43"/>
      <c r="B929" s="40" t="s">
        <v>2964</v>
      </c>
      <c r="C929" s="40" t="s">
        <v>3026</v>
      </c>
      <c r="D929" s="40" t="s">
        <v>3026</v>
      </c>
      <c r="E929" s="51" t="s">
        <v>3571</v>
      </c>
      <c r="F929" s="44">
        <f t="shared" si="43"/>
        <v>2</v>
      </c>
      <c r="G929" s="40" t="s">
        <v>3525</v>
      </c>
      <c r="H929" s="43"/>
      <c r="I929" s="7" t="str">
        <f>IFERROR(__xludf.DUMMYFUNCTION("regexreplace(lower(C929), ""_"", """")"),"mrinrnpatternofinjury")</f>
        <v>mrinrnpatternofinjury</v>
      </c>
      <c r="J929" s="9" t="b">
        <f t="shared" si="2"/>
        <v>1</v>
      </c>
      <c r="K929" s="7" t="str">
        <f>IFERROR(__xludf.DUMMYFUNCTION("regexreplace(G929, ""_"", """")"),"mrinrnpatternofinjury")</f>
        <v>mrinrnpatternofinjury</v>
      </c>
      <c r="L929" s="52" t="s">
        <v>3572</v>
      </c>
      <c r="M929" s="52" t="s">
        <v>3573</v>
      </c>
    </row>
    <row r="930">
      <c r="A930" s="43"/>
      <c r="B930" s="40" t="s">
        <v>2964</v>
      </c>
      <c r="C930" s="40" t="s">
        <v>2985</v>
      </c>
      <c r="D930" s="40" t="s">
        <v>29</v>
      </c>
      <c r="E930" s="43"/>
      <c r="F930" s="44">
        <f t="shared" si="43"/>
        <v>1</v>
      </c>
      <c r="G930" s="40" t="s">
        <v>2987</v>
      </c>
      <c r="H930" s="43"/>
      <c r="I930" s="7" t="str">
        <f>IFERROR(__xludf.DUMMYFUNCTION("regexreplace(lower(C930), ""_"", """")"),"mridate")</f>
        <v>mridate</v>
      </c>
      <c r="J930" s="9" t="b">
        <f t="shared" si="2"/>
        <v>1</v>
      </c>
      <c r="K930" s="7" t="str">
        <f>IFERROR(__xludf.DUMMYFUNCTION("regexreplace(G930, ""_"", """")"),"mridate")</f>
        <v>mridate</v>
      </c>
      <c r="L930" s="52" t="s">
        <v>3574</v>
      </c>
      <c r="M930" s="43"/>
    </row>
    <row r="931">
      <c r="A931" s="43"/>
      <c r="B931" s="40" t="s">
        <v>2964</v>
      </c>
      <c r="C931" s="40" t="s">
        <v>2989</v>
      </c>
      <c r="D931" s="40" t="s">
        <v>148</v>
      </c>
      <c r="E931" s="43"/>
      <c r="F931" s="44">
        <f t="shared" si="43"/>
        <v>1</v>
      </c>
      <c r="G931" s="40" t="s">
        <v>2991</v>
      </c>
      <c r="H931" s="43"/>
      <c r="I931" s="7" t="str">
        <f>IFERROR(__xludf.DUMMYFUNCTION("regexreplace(lower(C931), ""_"", """")"),"mritime")</f>
        <v>mritime</v>
      </c>
      <c r="J931" s="9" t="b">
        <f t="shared" si="2"/>
        <v>1</v>
      </c>
      <c r="K931" s="7" t="str">
        <f>IFERROR(__xludf.DUMMYFUNCTION("regexreplace(G931, ""_"", """")"),"mritime")</f>
        <v>mritime</v>
      </c>
      <c r="L931" s="52" t="s">
        <v>3575</v>
      </c>
      <c r="M931" s="43"/>
    </row>
    <row r="932">
      <c r="A932" s="43"/>
      <c r="B932" s="40" t="s">
        <v>2964</v>
      </c>
      <c r="C932" s="40" t="s">
        <v>3576</v>
      </c>
      <c r="D932" s="40" t="s">
        <v>43</v>
      </c>
      <c r="E932" s="43"/>
      <c r="F932" s="44">
        <f t="shared" si="43"/>
        <v>1</v>
      </c>
      <c r="G932" s="40" t="s">
        <v>3577</v>
      </c>
      <c r="H932" s="43"/>
      <c r="I932" s="7" t="str">
        <f>IFERROR(__xludf.DUMMYFUNCTION("regexreplace(lower(C932), ""_"", """")"),"mrinotdone")</f>
        <v>mrinotdone</v>
      </c>
      <c r="J932" s="9" t="b">
        <f t="shared" si="2"/>
        <v>1</v>
      </c>
      <c r="K932" s="7" t="str">
        <f>IFERROR(__xludf.DUMMYFUNCTION("regexreplace(G932, ""_"", """")"),"mrinotdone")</f>
        <v>mrinotdone</v>
      </c>
      <c r="L932" s="52" t="s">
        <v>3578</v>
      </c>
      <c r="M932" s="43"/>
    </row>
    <row r="933">
      <c r="A933" s="43"/>
      <c r="B933" s="40" t="s">
        <v>2964</v>
      </c>
      <c r="C933" s="40" t="s">
        <v>3579</v>
      </c>
      <c r="D933" s="40" t="s">
        <v>43</v>
      </c>
      <c r="E933" s="43"/>
      <c r="F933" s="44">
        <f t="shared" si="43"/>
        <v>1</v>
      </c>
      <c r="G933" s="40" t="s">
        <v>3580</v>
      </c>
      <c r="H933" s="43"/>
      <c r="I933" s="7" t="str">
        <f>IFERROR(__xludf.DUMMYFUNCTION("regexreplace(lower(C933), ""_"", """")"),"mriunread")</f>
        <v>mriunread</v>
      </c>
      <c r="J933" s="9" t="b">
        <f t="shared" si="2"/>
        <v>1</v>
      </c>
      <c r="K933" s="7" t="str">
        <f>IFERROR(__xludf.DUMMYFUNCTION("regexreplace(G933, ""_"", """")"),"mriunread")</f>
        <v>mriunread</v>
      </c>
      <c r="L933" s="52" t="s">
        <v>3581</v>
      </c>
      <c r="M933" s="43"/>
    </row>
    <row r="934">
      <c r="A934" s="43"/>
      <c r="B934" s="40" t="s">
        <v>2964</v>
      </c>
      <c r="C934" s="40" t="s">
        <v>3582</v>
      </c>
      <c r="D934" s="40" t="s">
        <v>43</v>
      </c>
      <c r="E934" s="51" t="s">
        <v>3583</v>
      </c>
      <c r="F934" s="44">
        <f t="shared" si="43"/>
        <v>1</v>
      </c>
      <c r="G934" s="40" t="s">
        <v>3584</v>
      </c>
      <c r="H934" s="43"/>
      <c r="I934" s="7" t="str">
        <f>IFERROR(__xludf.DUMMYFUNCTION("regexreplace(lower(C934), ""_"", """")"),"mrianalysis")</f>
        <v>mrianalysis</v>
      </c>
      <c r="J934" s="9" t="b">
        <f t="shared" si="2"/>
        <v>1</v>
      </c>
      <c r="K934" s="7" t="str">
        <f>IFERROR(__xludf.DUMMYFUNCTION("regexreplace(G934, ""_"", """")"),"mrianalysis")</f>
        <v>mrianalysis</v>
      </c>
      <c r="L934" s="43"/>
      <c r="M934" s="52" t="s">
        <v>3585</v>
      </c>
    </row>
    <row r="935">
      <c r="A935" s="43"/>
      <c r="B935" s="40" t="s">
        <v>2964</v>
      </c>
      <c r="C935" s="41" t="s">
        <v>3586</v>
      </c>
      <c r="D935" s="40" t="s">
        <v>43</v>
      </c>
      <c r="E935" s="51" t="s">
        <v>3587</v>
      </c>
      <c r="F935" s="44">
        <f t="shared" si="43"/>
        <v>1</v>
      </c>
      <c r="G935" s="41" t="s">
        <v>3588</v>
      </c>
      <c r="H935" s="43"/>
      <c r="I935" s="7" t="str">
        <f>IFERROR(__xludf.DUMMYFUNCTION("regexreplace(lower(C935), ""_"", """")"),"mriabnormalresult")</f>
        <v>mriabnormalresult</v>
      </c>
      <c r="J935" s="9" t="b">
        <f t="shared" si="2"/>
        <v>1</v>
      </c>
      <c r="K935" s="7" t="str">
        <f>IFERROR(__xludf.DUMMYFUNCTION("regexreplace(G935, ""_"", """")"),"mriabnormalresult")</f>
        <v>mriabnormalresult</v>
      </c>
      <c r="L935" s="43"/>
      <c r="M935" s="52" t="s">
        <v>3589</v>
      </c>
    </row>
    <row r="936">
      <c r="A936" s="43"/>
      <c r="B936" s="40" t="s">
        <v>2964</v>
      </c>
      <c r="C936" s="40" t="s">
        <v>3590</v>
      </c>
      <c r="D936" s="40" t="s">
        <v>3591</v>
      </c>
      <c r="E936" s="51" t="s">
        <v>3592</v>
      </c>
      <c r="F936" s="44">
        <f t="shared" si="43"/>
        <v>1</v>
      </c>
      <c r="G936" s="40" t="s">
        <v>3593</v>
      </c>
      <c r="H936" s="43"/>
      <c r="I936" s="7" t="str">
        <f>IFERROR(__xludf.DUMMYFUNCTION("regexreplace(lower(C936), ""_"", """")"),"mrinrnpatternofinjurywsvsbgtplic")</f>
        <v>mrinrnpatternofinjurywsvsbgtplic</v>
      </c>
      <c r="J936" s="9" t="b">
        <f t="shared" si="2"/>
        <v>1</v>
      </c>
      <c r="K936" s="7" t="str">
        <f>IFERROR(__xludf.DUMMYFUNCTION("regexreplace(G936, ""_"", """")"),"mrinrnpatternofinjurywsvsbgtplic")</f>
        <v>mrinrnpatternofinjurywsvsbgtplic</v>
      </c>
      <c r="L936" s="43"/>
      <c r="M936" s="52" t="s">
        <v>3594</v>
      </c>
    </row>
    <row r="937">
      <c r="A937" s="43"/>
      <c r="B937" s="40" t="s">
        <v>2964</v>
      </c>
      <c r="C937" s="41" t="s">
        <v>3595</v>
      </c>
      <c r="D937" s="40" t="s">
        <v>43</v>
      </c>
      <c r="E937" s="51" t="s">
        <v>3596</v>
      </c>
      <c r="F937" s="44">
        <f t="shared" si="43"/>
        <v>1</v>
      </c>
      <c r="G937" s="41" t="s">
        <v>3597</v>
      </c>
      <c r="H937" s="43"/>
      <c r="I937" s="7" t="str">
        <f>IFERROR(__xludf.DUMMYFUNCTION("regexreplace(lower(C937), ""_"", """")"),"mricerebrallesion")</f>
        <v>mricerebrallesion</v>
      </c>
      <c r="J937" s="9" t="b">
        <f t="shared" si="2"/>
        <v>1</v>
      </c>
      <c r="K937" s="7" t="str">
        <f>IFERROR(__xludf.DUMMYFUNCTION("regexreplace(G937, ""_"", """")"),"mricerebrallesion")</f>
        <v>mricerebrallesion</v>
      </c>
      <c r="L937" s="43"/>
      <c r="M937" s="52" t="s">
        <v>3598</v>
      </c>
    </row>
    <row r="938">
      <c r="A938" s="43"/>
      <c r="B938" s="40" t="s">
        <v>2964</v>
      </c>
      <c r="C938" s="41" t="s">
        <v>3599</v>
      </c>
      <c r="D938" s="41" t="s">
        <v>3600</v>
      </c>
      <c r="E938" s="51" t="s">
        <v>3601</v>
      </c>
      <c r="F938" s="44">
        <f t="shared" si="43"/>
        <v>1</v>
      </c>
      <c r="G938" s="41" t="s">
        <v>3602</v>
      </c>
      <c r="H938" s="43"/>
      <c r="I938" s="7" t="str">
        <f>IFERROR(__xludf.DUMMYFUNCTION("regexreplace(lower(C938), ""_"", """")"),"mricerebellarlesion")</f>
        <v>mricerebellarlesion</v>
      </c>
      <c r="J938" s="9" t="b">
        <f t="shared" si="2"/>
        <v>1</v>
      </c>
      <c r="K938" s="7" t="str">
        <f>IFERROR(__xludf.DUMMYFUNCTION("regexreplace(G938, ""_"", """")"),"mricerebellarlesion")</f>
        <v>mricerebellarlesion</v>
      </c>
      <c r="L938" s="43"/>
      <c r="M938" s="52" t="s">
        <v>3603</v>
      </c>
    </row>
    <row r="939">
      <c r="A939" s="43"/>
      <c r="B939" s="40" t="s">
        <v>2964</v>
      </c>
      <c r="C939" s="41" t="s">
        <v>3604</v>
      </c>
      <c r="D939" s="41" t="s">
        <v>3600</v>
      </c>
      <c r="E939" s="51" t="s">
        <v>3605</v>
      </c>
      <c r="F939" s="44">
        <f t="shared" si="43"/>
        <v>1</v>
      </c>
      <c r="G939" s="41" t="s">
        <v>3606</v>
      </c>
      <c r="H939" s="43"/>
      <c r="I939" s="7" t="str">
        <f>IFERROR(__xludf.DUMMYFUNCTION("regexreplace(lower(C939), ""_"", """")"),"mribasalganglialesion")</f>
        <v>mribasalganglialesion</v>
      </c>
      <c r="J939" s="9" t="b">
        <f t="shared" si="2"/>
        <v>1</v>
      </c>
      <c r="K939" s="7" t="str">
        <f>IFERROR(__xludf.DUMMYFUNCTION("regexreplace(G939, ""_"", """")"),"mribasalganglialesion")</f>
        <v>mribasalganglialesion</v>
      </c>
      <c r="L939" s="43"/>
      <c r="M939" s="52" t="s">
        <v>3607</v>
      </c>
    </row>
    <row r="940">
      <c r="A940" s="43"/>
      <c r="B940" s="40" t="s">
        <v>2964</v>
      </c>
      <c r="C940" s="41" t="s">
        <v>3608</v>
      </c>
      <c r="D940" s="41" t="s">
        <v>3600</v>
      </c>
      <c r="E940" s="51" t="s">
        <v>3609</v>
      </c>
      <c r="F940" s="44">
        <f t="shared" si="43"/>
        <v>1</v>
      </c>
      <c r="G940" s="41" t="s">
        <v>3610</v>
      </c>
      <c r="H940" s="43"/>
      <c r="I940" s="7" t="str">
        <f>IFERROR(__xludf.DUMMYFUNCTION("regexreplace(lower(C940), ""_"", """")"),"mribrainstemlesion")</f>
        <v>mribrainstemlesion</v>
      </c>
      <c r="J940" s="9" t="b">
        <f t="shared" si="2"/>
        <v>1</v>
      </c>
      <c r="K940" s="7" t="str">
        <f>IFERROR(__xludf.DUMMYFUNCTION("regexreplace(G940, ""_"", """")"),"mribrainstemlesion")</f>
        <v>mribrainstemlesion</v>
      </c>
      <c r="L940" s="43"/>
      <c r="M940" s="52" t="s">
        <v>3611</v>
      </c>
    </row>
    <row r="941">
      <c r="A941" s="43"/>
      <c r="B941" s="40" t="s">
        <v>2964</v>
      </c>
      <c r="C941" s="41" t="s">
        <v>3612</v>
      </c>
      <c r="D941" s="41" t="s">
        <v>3600</v>
      </c>
      <c r="E941" s="51" t="s">
        <v>3613</v>
      </c>
      <c r="F941" s="44">
        <f t="shared" si="43"/>
        <v>1</v>
      </c>
      <c r="G941" s="41" t="s">
        <v>3614</v>
      </c>
      <c r="H941" s="43"/>
      <c r="I941" s="7" t="str">
        <f>IFERROR(__xludf.DUMMYFUNCTION("regexreplace(lower(C941), ""_"", """")"),"mricorpuscallosumlesion")</f>
        <v>mricorpuscallosumlesion</v>
      </c>
      <c r="J941" s="9" t="b">
        <f t="shared" si="2"/>
        <v>1</v>
      </c>
      <c r="K941" s="7" t="str">
        <f>IFERROR(__xludf.DUMMYFUNCTION("regexreplace(G941, ""_"", """")"),"mricorpuscallosumlesion")</f>
        <v>mricorpuscallosumlesion</v>
      </c>
      <c r="L941" s="43"/>
      <c r="M941" s="52" t="s">
        <v>3615</v>
      </c>
    </row>
    <row r="942">
      <c r="A942" s="43"/>
      <c r="B942" s="40" t="s">
        <v>2964</v>
      </c>
      <c r="C942" s="41" t="s">
        <v>3616</v>
      </c>
      <c r="D942" s="41" t="s">
        <v>3600</v>
      </c>
      <c r="E942" s="51" t="s">
        <v>3617</v>
      </c>
      <c r="F942" s="44">
        <f t="shared" si="43"/>
        <v>1</v>
      </c>
      <c r="G942" s="41" t="s">
        <v>3618</v>
      </c>
      <c r="H942" s="43"/>
      <c r="I942" s="7" t="str">
        <f>IFERROR(__xludf.DUMMYFUNCTION("regexreplace(lower(C942), ""_"", """")"),"mricerebrallesionlobe")</f>
        <v>mricerebrallesionlobe</v>
      </c>
      <c r="J942" s="9" t="b">
        <f t="shared" si="2"/>
        <v>1</v>
      </c>
      <c r="K942" s="7" t="str">
        <f>IFERROR(__xludf.DUMMYFUNCTION("regexreplace(G942, ""_"", """")"),"mricerebrallesionlobe")</f>
        <v>mricerebrallesionlobe</v>
      </c>
      <c r="L942" s="43"/>
      <c r="M942" s="52" t="s">
        <v>3619</v>
      </c>
    </row>
    <row r="943">
      <c r="A943" s="43"/>
      <c r="B943" s="40" t="s">
        <v>2964</v>
      </c>
      <c r="C943" s="41" t="s">
        <v>3620</v>
      </c>
      <c r="D943" s="41" t="s">
        <v>3600</v>
      </c>
      <c r="E943" s="51" t="s">
        <v>3621</v>
      </c>
      <c r="F943" s="44">
        <f t="shared" si="43"/>
        <v>1</v>
      </c>
      <c r="G943" s="41" t="s">
        <v>3622</v>
      </c>
      <c r="H943" s="43"/>
      <c r="I943" s="7" t="str">
        <f>IFERROR(__xludf.DUMMYFUNCTION("regexreplace(lower(C943), ""_"", """")"),"mricoronaradiatalesion")</f>
        <v>mricoronaradiatalesion</v>
      </c>
      <c r="J943" s="9" t="b">
        <f t="shared" si="2"/>
        <v>1</v>
      </c>
      <c r="K943" s="7" t="str">
        <f>IFERROR(__xludf.DUMMYFUNCTION("regexreplace(G943, ""_"", """")"),"mricoronaradiatalesion")</f>
        <v>mricoronaradiatalesion</v>
      </c>
      <c r="L943" s="43"/>
      <c r="M943" s="52" t="s">
        <v>3623</v>
      </c>
    </row>
    <row r="944">
      <c r="A944" s="43"/>
      <c r="B944" s="40" t="s">
        <v>2964</v>
      </c>
      <c r="C944" s="41" t="s">
        <v>3624</v>
      </c>
      <c r="D944" s="41" t="s">
        <v>3600</v>
      </c>
      <c r="E944" s="51" t="s">
        <v>3625</v>
      </c>
      <c r="F944" s="44">
        <f t="shared" si="43"/>
        <v>1</v>
      </c>
      <c r="G944" s="41" t="s">
        <v>3626</v>
      </c>
      <c r="H944" s="43"/>
      <c r="I944" s="7" t="str">
        <f>IFERROR(__xludf.DUMMYFUNCTION("regexreplace(lower(C944), ""_"", """")"),"mriedema")</f>
        <v>mriedema</v>
      </c>
      <c r="J944" s="9" t="b">
        <f t="shared" si="2"/>
        <v>1</v>
      </c>
      <c r="K944" s="7" t="str">
        <f>IFERROR(__xludf.DUMMYFUNCTION("regexreplace(G944, ""_"", """")"),"mriedema")</f>
        <v>mriedema</v>
      </c>
      <c r="L944" s="43"/>
      <c r="M944" s="52" t="s">
        <v>3627</v>
      </c>
    </row>
    <row r="945">
      <c r="A945" s="43"/>
      <c r="B945" s="40" t="s">
        <v>2964</v>
      </c>
      <c r="C945" s="41" t="s">
        <v>3628</v>
      </c>
      <c r="D945" s="41" t="s">
        <v>3600</v>
      </c>
      <c r="E945" s="51" t="s">
        <v>3629</v>
      </c>
      <c r="F945" s="44">
        <f t="shared" si="43"/>
        <v>1</v>
      </c>
      <c r="G945" s="41" t="s">
        <v>3630</v>
      </c>
      <c r="H945" s="43"/>
      <c r="I945" s="7" t="str">
        <f>IFERROR(__xludf.DUMMYFUNCTION("regexreplace(lower(C945), ""_"", """")"),"mriextraaxiallesion")</f>
        <v>mriextraaxiallesion</v>
      </c>
      <c r="J945" s="9" t="b">
        <f t="shared" si="2"/>
        <v>1</v>
      </c>
      <c r="K945" s="7" t="str">
        <f>IFERROR(__xludf.DUMMYFUNCTION("regexreplace(G945, ""_"", """")"),"mriextraaxiallesion")</f>
        <v>mriextraaxiallesion</v>
      </c>
      <c r="L945" s="43"/>
      <c r="M945" s="52" t="s">
        <v>3631</v>
      </c>
    </row>
    <row r="946">
      <c r="A946" s="43"/>
      <c r="B946" s="40" t="s">
        <v>2964</v>
      </c>
      <c r="C946" s="41" t="s">
        <v>3632</v>
      </c>
      <c r="D946" s="40" t="s">
        <v>3342</v>
      </c>
      <c r="E946" s="51" t="s">
        <v>3633</v>
      </c>
      <c r="F946" s="44">
        <f t="shared" si="43"/>
        <v>1</v>
      </c>
      <c r="G946" s="41" t="s">
        <v>3634</v>
      </c>
      <c r="H946" s="43"/>
      <c r="I946" s="7" t="str">
        <f>IFERROR(__xludf.DUMMYFUNCTION("regexreplace(lower(C946), ""_"", """")"),"mriextent")</f>
        <v>mriextent</v>
      </c>
      <c r="J946" s="9" t="b">
        <f t="shared" si="2"/>
        <v>1</v>
      </c>
      <c r="K946" s="7" t="str">
        <f>IFERROR(__xludf.DUMMYFUNCTION("regexreplace(G946, ""_"", """")"),"mriextent")</f>
        <v>mriextent</v>
      </c>
      <c r="L946" s="43"/>
      <c r="M946" s="52" t="s">
        <v>3635</v>
      </c>
    </row>
    <row r="947">
      <c r="A947" s="43"/>
      <c r="B947" s="40" t="s">
        <v>2964</v>
      </c>
      <c r="C947" s="41" t="s">
        <v>3636</v>
      </c>
      <c r="D947" s="41" t="s">
        <v>3600</v>
      </c>
      <c r="E947" s="51" t="s">
        <v>3637</v>
      </c>
      <c r="F947" s="44">
        <f t="shared" si="43"/>
        <v>1</v>
      </c>
      <c r="G947" s="41" t="s">
        <v>3638</v>
      </c>
      <c r="H947" s="43"/>
      <c r="I947" s="7" t="str">
        <f>IFERROR(__xludf.DUMMYFUNCTION("regexreplace(lower(C947), ""_"", """")"),"mrifrontalparietallesion")</f>
        <v>mrifrontalparietallesion</v>
      </c>
      <c r="J947" s="9" t="b">
        <f t="shared" si="2"/>
        <v>1</v>
      </c>
      <c r="K947" s="7" t="str">
        <f>IFERROR(__xludf.DUMMYFUNCTION("regexreplace(G947, ""_"", """")"),"mrifrontalparietallesion")</f>
        <v>mrifrontalparietallesion</v>
      </c>
      <c r="L947" s="43"/>
      <c r="M947" s="52" t="s">
        <v>3639</v>
      </c>
    </row>
    <row r="948">
      <c r="A948" s="43"/>
      <c r="B948" s="40" t="s">
        <v>2964</v>
      </c>
      <c r="C948" s="41" t="s">
        <v>3640</v>
      </c>
      <c r="D948" s="41" t="s">
        <v>3600</v>
      </c>
      <c r="E948" s="51" t="s">
        <v>3641</v>
      </c>
      <c r="F948" s="44">
        <f t="shared" si="43"/>
        <v>1</v>
      </c>
      <c r="G948" s="41" t="s">
        <v>3642</v>
      </c>
      <c r="H948" s="43"/>
      <c r="I948" s="7" t="str">
        <f>IFERROR(__xludf.DUMMYFUNCTION("regexreplace(lower(C948), ""_"", """")"),"mrifrontallesion")</f>
        <v>mrifrontallesion</v>
      </c>
      <c r="J948" s="9" t="b">
        <f t="shared" si="2"/>
        <v>1</v>
      </c>
      <c r="K948" s="7" t="str">
        <f>IFERROR(__xludf.DUMMYFUNCTION("regexreplace(G948, ""_"", """")"),"mrifrontallesion")</f>
        <v>mrifrontallesion</v>
      </c>
      <c r="L948" s="43"/>
      <c r="M948" s="52" t="s">
        <v>3643</v>
      </c>
    </row>
    <row r="949">
      <c r="A949" s="43"/>
      <c r="B949" s="40" t="s">
        <v>2964</v>
      </c>
      <c r="C949" s="41" t="s">
        <v>3644</v>
      </c>
      <c r="D949" s="41" t="s">
        <v>3323</v>
      </c>
      <c r="E949" s="51" t="s">
        <v>3645</v>
      </c>
      <c r="F949" s="44">
        <f t="shared" si="43"/>
        <v>1</v>
      </c>
      <c r="G949" s="41" t="s">
        <v>3646</v>
      </c>
      <c r="H949" s="43"/>
      <c r="I949" s="7" t="str">
        <f>IFERROR(__xludf.DUMMYFUNCTION("regexreplace(lower(C949), ""_"", """")"),"mrilateralhemisphericdevastation")</f>
        <v>mrilateralhemisphericdevastation</v>
      </c>
      <c r="J949" s="9" t="b">
        <f t="shared" si="2"/>
        <v>1</v>
      </c>
      <c r="K949" s="7" t="str">
        <f>IFERROR(__xludf.DUMMYFUNCTION("regexreplace(G949, ""_"", """")"),"mrilateralhemisphericdevastation")</f>
        <v>mrilateralhemisphericdevastation</v>
      </c>
      <c r="L949" s="43"/>
      <c r="M949" s="52" t="s">
        <v>3647</v>
      </c>
    </row>
    <row r="950">
      <c r="A950" s="43"/>
      <c r="B950" s="40" t="s">
        <v>2964</v>
      </c>
      <c r="C950" s="41" t="s">
        <v>3648</v>
      </c>
      <c r="D950" s="41" t="s">
        <v>3600</v>
      </c>
      <c r="E950" s="51" t="s">
        <v>3649</v>
      </c>
      <c r="F950" s="44">
        <f t="shared" si="43"/>
        <v>1</v>
      </c>
      <c r="G950" s="41" t="s">
        <v>3650</v>
      </c>
      <c r="H950" s="43"/>
      <c r="I950" s="7" t="str">
        <f>IFERROR(__xludf.DUMMYFUNCTION("regexreplace(lower(C950), ""_"", """")"),"mrihippocampuslesion")</f>
        <v>mrihippocampuslesion</v>
      </c>
      <c r="J950" s="9" t="b">
        <f t="shared" si="2"/>
        <v>1</v>
      </c>
      <c r="K950" s="7" t="str">
        <f>IFERROR(__xludf.DUMMYFUNCTION("regexreplace(G950, ""_"", """")"),"mrihippocampuslesion")</f>
        <v>mrihippocampuslesion</v>
      </c>
      <c r="L950" s="43"/>
      <c r="M950" s="52" t="s">
        <v>3651</v>
      </c>
    </row>
    <row r="951">
      <c r="A951" s="43"/>
      <c r="B951" s="40" t="s">
        <v>2964</v>
      </c>
      <c r="C951" s="41" t="s">
        <v>3652</v>
      </c>
      <c r="D951" s="41" t="s">
        <v>3600</v>
      </c>
      <c r="E951" s="51" t="s">
        <v>3653</v>
      </c>
      <c r="F951" s="44">
        <f t="shared" si="43"/>
        <v>1</v>
      </c>
      <c r="G951" s="41" t="s">
        <v>3654</v>
      </c>
      <c r="H951" s="43"/>
      <c r="I951" s="7" t="str">
        <f>IFERROR(__xludf.DUMMYFUNCTION("regexreplace(lower(C951), ""_"", """")"),"mrihypothalamuslesion")</f>
        <v>mrihypothalamuslesion</v>
      </c>
      <c r="J951" s="9" t="b">
        <f t="shared" si="2"/>
        <v>1</v>
      </c>
      <c r="K951" s="7" t="str">
        <f>IFERROR(__xludf.DUMMYFUNCTION("regexreplace(G951, ""_"", """")"),"mrihypothalamuslesion")</f>
        <v>mrihypothalamuslesion</v>
      </c>
      <c r="L951" s="43"/>
      <c r="M951" s="52" t="s">
        <v>3655</v>
      </c>
    </row>
    <row r="952">
      <c r="A952" s="43"/>
      <c r="B952" s="40" t="s">
        <v>2964</v>
      </c>
      <c r="C952" s="41" t="s">
        <v>3656</v>
      </c>
      <c r="D952" s="41" t="s">
        <v>3600</v>
      </c>
      <c r="E952" s="51" t="s">
        <v>3657</v>
      </c>
      <c r="F952" s="44">
        <f t="shared" si="43"/>
        <v>1</v>
      </c>
      <c r="G952" s="41" t="s">
        <v>3658</v>
      </c>
      <c r="H952" s="43"/>
      <c r="I952" s="7" t="str">
        <f>IFERROR(__xludf.DUMMYFUNCTION("regexreplace(lower(C952), ""_"", """")"),"mriinsularlesion")</f>
        <v>mriinsularlesion</v>
      </c>
      <c r="J952" s="9" t="b">
        <f t="shared" si="2"/>
        <v>1</v>
      </c>
      <c r="K952" s="7" t="str">
        <f>IFERROR(__xludf.DUMMYFUNCTION("regexreplace(G952, ""_"", """")"),"mriinsularlesion")</f>
        <v>mriinsularlesion</v>
      </c>
      <c r="L952" s="43"/>
      <c r="M952" s="52" t="s">
        <v>3659</v>
      </c>
    </row>
    <row r="953">
      <c r="A953" s="43"/>
      <c r="B953" s="40" t="s">
        <v>2964</v>
      </c>
      <c r="C953" s="41" t="s">
        <v>3660</v>
      </c>
      <c r="D953" s="41" t="s">
        <v>3323</v>
      </c>
      <c r="E953" s="51" t="s">
        <v>3661</v>
      </c>
      <c r="F953" s="44">
        <f t="shared" si="43"/>
        <v>1</v>
      </c>
      <c r="G953" s="41" t="s">
        <v>3662</v>
      </c>
      <c r="H953" s="43"/>
      <c r="I953" s="7" t="str">
        <f>IFERROR(__xludf.DUMMYFUNCTION("regexreplace(lower(C953), ""_"", """")"),"mrilateralitymerge")</f>
        <v>mrilateralitymerge</v>
      </c>
      <c r="J953" s="9" t="b">
        <f t="shared" si="2"/>
        <v>1</v>
      </c>
      <c r="K953" s="7" t="str">
        <f>IFERROR(__xludf.DUMMYFUNCTION("regexreplace(G953, ""_"", """")"),"mrilateralitymerge")</f>
        <v>mrilateralitymerge</v>
      </c>
      <c r="L953" s="43"/>
      <c r="M953" s="52" t="s">
        <v>3663</v>
      </c>
    </row>
    <row r="954">
      <c r="A954" s="43"/>
      <c r="B954" s="40" t="s">
        <v>2964</v>
      </c>
      <c r="C954" s="41" t="s">
        <v>3664</v>
      </c>
      <c r="D954" s="41" t="s">
        <v>3397</v>
      </c>
      <c r="E954" s="51" t="s">
        <v>3665</v>
      </c>
      <c r="F954" s="44">
        <f t="shared" si="43"/>
        <v>1</v>
      </c>
      <c r="G954" s="41" t="s">
        <v>3666</v>
      </c>
      <c r="H954" s="43"/>
      <c r="I954" s="7" t="str">
        <f>IFERROR(__xludf.DUMMYFUNCTION("regexreplace(lower(C954), ""_"", """")"),"mribgtmerge")</f>
        <v>mribgtmerge</v>
      </c>
      <c r="J954" s="9" t="b">
        <f t="shared" si="2"/>
        <v>1</v>
      </c>
      <c r="K954" s="7" t="str">
        <f>IFERROR(__xludf.DUMMYFUNCTION("regexreplace(G954, ""_"", """")"),"mribgtmerge")</f>
        <v>mribgtmerge</v>
      </c>
      <c r="L954" s="43"/>
      <c r="M954" s="52" t="s">
        <v>3667</v>
      </c>
    </row>
    <row r="955">
      <c r="A955" s="43"/>
      <c r="B955" s="40" t="s">
        <v>2964</v>
      </c>
      <c r="C955" s="41" t="s">
        <v>3668</v>
      </c>
      <c r="D955" s="41" t="s">
        <v>3482</v>
      </c>
      <c r="E955" s="51" t="s">
        <v>3669</v>
      </c>
      <c r="F955" s="44">
        <f t="shared" si="43"/>
        <v>1</v>
      </c>
      <c r="G955" s="41" t="s">
        <v>3670</v>
      </c>
      <c r="H955" s="43"/>
      <c r="I955" s="7" t="str">
        <f>IFERROR(__xludf.DUMMYFUNCTION("regexreplace(lower(C955), ""_"", """")"),"mriplicmerge")</f>
        <v>mriplicmerge</v>
      </c>
      <c r="J955" s="9" t="b">
        <f t="shared" si="2"/>
        <v>1</v>
      </c>
      <c r="K955" s="7" t="str">
        <f>IFERROR(__xludf.DUMMYFUNCTION("regexreplace(G955, ""_"", """")"),"mriplicmerge")</f>
        <v>mriplicmerge</v>
      </c>
      <c r="L955" s="43"/>
      <c r="M955" s="52" t="s">
        <v>3671</v>
      </c>
    </row>
    <row r="956">
      <c r="A956" s="43"/>
      <c r="B956" s="40" t="s">
        <v>2964</v>
      </c>
      <c r="C956" s="41" t="s">
        <v>3672</v>
      </c>
      <c r="D956" s="41" t="s">
        <v>3397</v>
      </c>
      <c r="E956" s="51" t="s">
        <v>3673</v>
      </c>
      <c r="F956" s="44">
        <f t="shared" si="43"/>
        <v>1</v>
      </c>
      <c r="G956" s="41" t="s">
        <v>3674</v>
      </c>
      <c r="H956" s="43"/>
      <c r="I956" s="7" t="str">
        <f>IFERROR(__xludf.DUMMYFUNCTION("regexreplace(lower(C956), ""_"", """")"),"mriwatershedmerge")</f>
        <v>mriwatershedmerge</v>
      </c>
      <c r="J956" s="9" t="b">
        <f t="shared" si="2"/>
        <v>1</v>
      </c>
      <c r="K956" s="7" t="str">
        <f>IFERROR(__xludf.DUMMYFUNCTION("regexreplace(G956, ""_"", """")"),"mriwatershedmerge")</f>
        <v>mriwatershedmerge</v>
      </c>
      <c r="L956" s="43"/>
      <c r="M956" s="52" t="s">
        <v>3675</v>
      </c>
    </row>
    <row r="957">
      <c r="A957" s="43"/>
      <c r="B957" s="40" t="s">
        <v>2964</v>
      </c>
      <c r="C957" s="41" t="s">
        <v>3676</v>
      </c>
      <c r="D957" s="41" t="s">
        <v>3508</v>
      </c>
      <c r="E957" s="51" t="s">
        <v>3677</v>
      </c>
      <c r="F957" s="44">
        <f t="shared" si="43"/>
        <v>1</v>
      </c>
      <c r="G957" s="41" t="s">
        <v>3678</v>
      </c>
      <c r="H957" s="43"/>
      <c r="I957" s="7" t="str">
        <f>IFERROR(__xludf.DUMMYFUNCTION("regexreplace(lower(C957), ""_"", """")"),"mriwhitematterinjurymerge")</f>
        <v>mriwhitematterinjurymerge</v>
      </c>
      <c r="J957" s="9" t="b">
        <f t="shared" si="2"/>
        <v>1</v>
      </c>
      <c r="K957" s="7" t="str">
        <f>IFERROR(__xludf.DUMMYFUNCTION("regexreplace(G957, ""_"", """")"),"mriwhitematterinjurymerge")</f>
        <v>mriwhitematterinjurymerge</v>
      </c>
      <c r="L957" s="43"/>
      <c r="M957" s="52" t="s">
        <v>3679</v>
      </c>
    </row>
    <row r="958">
      <c r="A958" s="43"/>
      <c r="B958" s="40" t="s">
        <v>2964</v>
      </c>
      <c r="C958" s="41" t="s">
        <v>3680</v>
      </c>
      <c r="D958" s="41" t="s">
        <v>3600</v>
      </c>
      <c r="E958" s="51" t="s">
        <v>3681</v>
      </c>
      <c r="F958" s="44">
        <f t="shared" si="43"/>
        <v>1</v>
      </c>
      <c r="G958" s="41" t="s">
        <v>3682</v>
      </c>
      <c r="H958" s="43"/>
      <c r="I958" s="7" t="str">
        <f>IFERROR(__xludf.DUMMYFUNCTION("regexreplace(lower(C958), ""_"", """")"),"mrioccipitallesion")</f>
        <v>mrioccipitallesion</v>
      </c>
      <c r="J958" s="9" t="b">
        <f t="shared" si="2"/>
        <v>1</v>
      </c>
      <c r="K958" s="7" t="str">
        <f>IFERROR(__xludf.DUMMYFUNCTION("regexreplace(G958, ""_"", """")"),"mrioccipitallesion")</f>
        <v>mrioccipitallesion</v>
      </c>
      <c r="L958" s="43"/>
      <c r="M958" s="52" t="s">
        <v>3683</v>
      </c>
    </row>
    <row r="959">
      <c r="A959" s="43"/>
      <c r="B959" s="40" t="s">
        <v>2964</v>
      </c>
      <c r="C959" s="41" t="s">
        <v>3684</v>
      </c>
      <c r="D959" s="41" t="s">
        <v>3600</v>
      </c>
      <c r="E959" s="51" t="s">
        <v>3685</v>
      </c>
      <c r="F959" s="44">
        <f t="shared" si="43"/>
        <v>1</v>
      </c>
      <c r="G959" s="41" t="s">
        <v>3686</v>
      </c>
      <c r="H959" s="43"/>
      <c r="I959" s="7" t="str">
        <f>IFERROR(__xludf.DUMMYFUNCTION("regexreplace(lower(C959), ""_"", """")"),"mriopticchiasmlesion")</f>
        <v>mriopticchiasmlesion</v>
      </c>
      <c r="J959" s="9" t="b">
        <f t="shared" si="2"/>
        <v>1</v>
      </c>
      <c r="K959" s="7" t="str">
        <f>IFERROR(__xludf.DUMMYFUNCTION("regexreplace(G959, ""_"", """")"),"mriopticchiasmlesion")</f>
        <v>mriopticchiasmlesion</v>
      </c>
      <c r="L959" s="43"/>
      <c r="M959" s="52" t="s">
        <v>3687</v>
      </c>
    </row>
    <row r="960">
      <c r="A960" s="43"/>
      <c r="B960" s="40" t="s">
        <v>2964</v>
      </c>
      <c r="C960" s="41" t="s">
        <v>3688</v>
      </c>
      <c r="D960" s="41" t="s">
        <v>3600</v>
      </c>
      <c r="E960" s="51" t="s">
        <v>3689</v>
      </c>
      <c r="F960" s="44">
        <f t="shared" si="43"/>
        <v>1</v>
      </c>
      <c r="G960" s="41" t="s">
        <v>3690</v>
      </c>
      <c r="H960" s="43"/>
      <c r="I960" s="7" t="str">
        <f>IFERROR(__xludf.DUMMYFUNCTION("regexreplace(lower(C960), ""_"", """")"),"mriotherlesion")</f>
        <v>mriotherlesion</v>
      </c>
      <c r="J960" s="9" t="b">
        <f t="shared" si="2"/>
        <v>1</v>
      </c>
      <c r="K960" s="7" t="str">
        <f>IFERROR(__xludf.DUMMYFUNCTION("regexreplace(G960, ""_"", """")"),"mriotherlesion")</f>
        <v>mriotherlesion</v>
      </c>
      <c r="L960" s="43"/>
      <c r="M960" s="52" t="s">
        <v>3691</v>
      </c>
    </row>
    <row r="961">
      <c r="A961" s="43"/>
      <c r="B961" s="40" t="s">
        <v>2964</v>
      </c>
      <c r="C961" s="41" t="s">
        <v>3692</v>
      </c>
      <c r="D961" s="41" t="s">
        <v>3600</v>
      </c>
      <c r="E961" s="51" t="s">
        <v>3693</v>
      </c>
      <c r="F961" s="44">
        <f t="shared" si="43"/>
        <v>1</v>
      </c>
      <c r="G961" s="41" t="s">
        <v>3694</v>
      </c>
      <c r="H961" s="43"/>
      <c r="I961" s="7" t="str">
        <f>IFERROR(__xludf.DUMMYFUNCTION("regexreplace(lower(C961), ""_"", """")"),"mriothercerebrallesion")</f>
        <v>mriothercerebrallesion</v>
      </c>
      <c r="J961" s="9" t="b">
        <f t="shared" si="2"/>
        <v>1</v>
      </c>
      <c r="K961" s="7" t="str">
        <f>IFERROR(__xludf.DUMMYFUNCTION("regexreplace(G961, ""_"", """")"),"mriothercerebrallesion")</f>
        <v>mriothercerebrallesion</v>
      </c>
      <c r="L961" s="43"/>
      <c r="M961" s="52" t="s">
        <v>3695</v>
      </c>
    </row>
    <row r="962">
      <c r="A962" s="43"/>
      <c r="B962" s="40" t="s">
        <v>2964</v>
      </c>
      <c r="C962" s="41" t="s">
        <v>3696</v>
      </c>
      <c r="D962" s="41" t="s">
        <v>3600</v>
      </c>
      <c r="E962" s="51" t="s">
        <v>3697</v>
      </c>
      <c r="F962" s="44">
        <f t="shared" si="43"/>
        <v>1</v>
      </c>
      <c r="G962" s="41" t="s">
        <v>3698</v>
      </c>
      <c r="H962" s="43"/>
      <c r="I962" s="7" t="str">
        <f>IFERROR(__xludf.DUMMYFUNCTION("regexreplace(lower(C962), ""_"", """")"),"mriparasagittallesion")</f>
        <v>mriparasagittallesion</v>
      </c>
      <c r="J962" s="9" t="b">
        <f t="shared" si="2"/>
        <v>1</v>
      </c>
      <c r="K962" s="7" t="str">
        <f>IFERROR(__xludf.DUMMYFUNCTION("regexreplace(G962, ""_"", """")"),"mriparasagittallesion")</f>
        <v>mriparasagittallesion</v>
      </c>
      <c r="L962" s="43"/>
      <c r="M962" s="52" t="s">
        <v>3699</v>
      </c>
    </row>
    <row r="963">
      <c r="A963" s="43"/>
      <c r="B963" s="40" t="s">
        <v>2964</v>
      </c>
      <c r="C963" s="41" t="s">
        <v>3700</v>
      </c>
      <c r="D963" s="41" t="s">
        <v>3600</v>
      </c>
      <c r="E963" s="51" t="s">
        <v>3701</v>
      </c>
      <c r="F963" s="44">
        <f t="shared" si="43"/>
        <v>1</v>
      </c>
      <c r="G963" s="41" t="s">
        <v>3702</v>
      </c>
      <c r="H963" s="43"/>
      <c r="I963" s="7" t="str">
        <f>IFERROR(__xludf.DUMMYFUNCTION("regexreplace(lower(C963), ""_"", """")"),"mriparietallesion")</f>
        <v>mriparietallesion</v>
      </c>
      <c r="J963" s="9" t="b">
        <f t="shared" si="2"/>
        <v>1</v>
      </c>
      <c r="K963" s="7" t="str">
        <f>IFERROR(__xludf.DUMMYFUNCTION("regexreplace(G963, ""_"", """")"),"mriparietallesion")</f>
        <v>mriparietallesion</v>
      </c>
      <c r="L963" s="43"/>
      <c r="M963" s="52" t="s">
        <v>3703</v>
      </c>
    </row>
    <row r="964">
      <c r="A964" s="43"/>
      <c r="B964" s="40" t="s">
        <v>2964</v>
      </c>
      <c r="C964" s="41" t="s">
        <v>3704</v>
      </c>
      <c r="D964" s="41" t="s">
        <v>3600</v>
      </c>
      <c r="E964" s="51" t="s">
        <v>3705</v>
      </c>
      <c r="F964" s="44">
        <f t="shared" si="43"/>
        <v>1</v>
      </c>
      <c r="G964" s="41" t="s">
        <v>3706</v>
      </c>
      <c r="H964" s="43"/>
      <c r="I964" s="7" t="str">
        <f>IFERROR(__xludf.DUMMYFUNCTION("regexreplace(lower(C964), ""_"", """")"),"mripreirolandiclesion")</f>
        <v>mripreirolandiclesion</v>
      </c>
      <c r="J964" s="9" t="b">
        <f t="shared" si="2"/>
        <v>1</v>
      </c>
      <c r="K964" s="7" t="str">
        <f>IFERROR(__xludf.DUMMYFUNCTION("regexreplace(G964, ""_"", """")"),"mripreirolandiclesion")</f>
        <v>mripreirolandiclesion</v>
      </c>
      <c r="L964" s="43"/>
      <c r="M964" s="52" t="s">
        <v>3707</v>
      </c>
    </row>
    <row r="965">
      <c r="A965" s="43"/>
      <c r="B965" s="40" t="s">
        <v>2964</v>
      </c>
      <c r="C965" s="41" t="s">
        <v>3708</v>
      </c>
      <c r="D965" s="41" t="s">
        <v>3600</v>
      </c>
      <c r="E965" s="51" t="s">
        <v>3709</v>
      </c>
      <c r="F965" s="44">
        <f t="shared" si="43"/>
        <v>1</v>
      </c>
      <c r="G965" s="41" t="s">
        <v>3710</v>
      </c>
      <c r="H965" s="43"/>
      <c r="I965" s="7" t="str">
        <f>IFERROR(__xludf.DUMMYFUNCTION("regexreplace(lower(C965), ""_"", """")"),"mriperisylvianlesion")</f>
        <v>mriperisylvianlesion</v>
      </c>
      <c r="J965" s="9" t="b">
        <f t="shared" si="2"/>
        <v>1</v>
      </c>
      <c r="K965" s="7" t="str">
        <f>IFERROR(__xludf.DUMMYFUNCTION("regexreplace(G965, ""_"", """")"),"mriperisylvianlesion")</f>
        <v>mriperisylvianlesion</v>
      </c>
      <c r="L965" s="43"/>
      <c r="M965" s="52" t="s">
        <v>3711</v>
      </c>
    </row>
    <row r="966">
      <c r="A966" s="43"/>
      <c r="B966" s="40" t="s">
        <v>2964</v>
      </c>
      <c r="C966" s="41" t="s">
        <v>3712</v>
      </c>
      <c r="D966" s="41" t="s">
        <v>3600</v>
      </c>
      <c r="E966" s="53" t="s">
        <v>3713</v>
      </c>
      <c r="F966" s="44">
        <f t="shared" si="43"/>
        <v>1</v>
      </c>
      <c r="G966" s="41" t="s">
        <v>3714</v>
      </c>
      <c r="H966" s="43"/>
      <c r="I966" s="7" t="str">
        <f>IFERROR(__xludf.DUMMYFUNCTION("regexreplace(lower(C966), ""_"", """")"),"mripituitarylesion")</f>
        <v>mripituitarylesion</v>
      </c>
      <c r="J966" s="9" t="b">
        <f t="shared" si="2"/>
        <v>1</v>
      </c>
      <c r="K966" s="7" t="str">
        <f>IFERROR(__xludf.DUMMYFUNCTION("regexreplace(G966, ""_"", """")"),"mripituitarylesion")</f>
        <v>mripituitarylesion</v>
      </c>
      <c r="L966" s="43"/>
      <c r="M966" s="52" t="s">
        <v>3715</v>
      </c>
    </row>
    <row r="967">
      <c r="A967" s="43"/>
      <c r="B967" s="40" t="s">
        <v>2964</v>
      </c>
      <c r="C967" s="41" t="s">
        <v>3716</v>
      </c>
      <c r="D967" s="41" t="s">
        <v>3600</v>
      </c>
      <c r="E967" s="51" t="s">
        <v>3717</v>
      </c>
      <c r="F967" s="44">
        <f t="shared" si="43"/>
        <v>1</v>
      </c>
      <c r="G967" s="41" t="s">
        <v>3718</v>
      </c>
      <c r="H967" s="43"/>
      <c r="I967" s="7" t="str">
        <f>IFERROR(__xludf.DUMMYFUNCTION("regexreplace(lower(C967), ""_"", """")"),"mriparietaloccipitallesion")</f>
        <v>mriparietaloccipitallesion</v>
      </c>
      <c r="J967" s="9" t="b">
        <f t="shared" si="2"/>
        <v>1</v>
      </c>
      <c r="K967" s="7" t="str">
        <f>IFERROR(__xludf.DUMMYFUNCTION("regexreplace(G967, ""_"", """")"),"mriparietaloccipitallesion")</f>
        <v>mriparietaloccipitallesion</v>
      </c>
      <c r="L967" s="43"/>
      <c r="M967" s="52" t="s">
        <v>3719</v>
      </c>
    </row>
    <row r="968">
      <c r="A968" s="43"/>
      <c r="B968" s="40" t="s">
        <v>2964</v>
      </c>
      <c r="C968" s="41" t="s">
        <v>3720</v>
      </c>
      <c r="D968" s="41" t="s">
        <v>3600</v>
      </c>
      <c r="E968" s="51" t="s">
        <v>3721</v>
      </c>
      <c r="F968" s="44">
        <f t="shared" si="43"/>
        <v>1</v>
      </c>
      <c r="G968" s="41" t="s">
        <v>3722</v>
      </c>
      <c r="H968" s="43"/>
      <c r="I968" s="7" t="str">
        <f>IFERROR(__xludf.DUMMYFUNCTION("regexreplace(lower(C968), ""_"", """")"),"mriparietaltemporallesion")</f>
        <v>mriparietaltemporallesion</v>
      </c>
      <c r="J968" s="9" t="b">
        <f t="shared" si="2"/>
        <v>1</v>
      </c>
      <c r="K968" s="7" t="str">
        <f>IFERROR(__xludf.DUMMYFUNCTION("regexreplace(G968, ""_"", """")"),"mriparietaltemporallesion")</f>
        <v>mriparietaltemporallesion</v>
      </c>
      <c r="L968" s="43"/>
      <c r="M968" s="52" t="s">
        <v>3723</v>
      </c>
    </row>
    <row r="969">
      <c r="A969" s="43"/>
      <c r="B969" s="40" t="s">
        <v>2964</v>
      </c>
      <c r="C969" s="41" t="s">
        <v>3724</v>
      </c>
      <c r="D969" s="41" t="s">
        <v>3600</v>
      </c>
      <c r="E969" s="51" t="s">
        <v>3725</v>
      </c>
      <c r="F969" s="44">
        <f t="shared" si="43"/>
        <v>1</v>
      </c>
      <c r="G969" s="41" t="s">
        <v>3726</v>
      </c>
      <c r="H969" s="43"/>
      <c r="I969" s="7" t="str">
        <f>IFERROR(__xludf.DUMMYFUNCTION("regexreplace(lower(C969), ""_"", """")"),"mriscalplesion")</f>
        <v>mriscalplesion</v>
      </c>
      <c r="J969" s="9" t="b">
        <f t="shared" si="2"/>
        <v>1</v>
      </c>
      <c r="K969" s="7" t="str">
        <f>IFERROR(__xludf.DUMMYFUNCTION("regexreplace(G969, ""_"", """")"),"mriscalplesion")</f>
        <v>mriscalplesion</v>
      </c>
      <c r="L969" s="43"/>
      <c r="M969" s="52" t="s">
        <v>3727</v>
      </c>
    </row>
    <row r="970">
      <c r="A970" s="43"/>
      <c r="B970" s="40" t="s">
        <v>2964</v>
      </c>
      <c r="C970" s="41" t="s">
        <v>3728</v>
      </c>
      <c r="D970" s="41" t="s">
        <v>3600</v>
      </c>
      <c r="E970" s="51" t="s">
        <v>3729</v>
      </c>
      <c r="F970" s="44">
        <f t="shared" si="43"/>
        <v>1</v>
      </c>
      <c r="G970" s="41" t="s">
        <v>3730</v>
      </c>
      <c r="H970" s="43"/>
      <c r="I970" s="7" t="str">
        <f>IFERROR(__xludf.DUMMYFUNCTION("regexreplace(lower(C970), ""_"", """")"),"mrithalamuslesion")</f>
        <v>mrithalamuslesion</v>
      </c>
      <c r="J970" s="9" t="b">
        <f t="shared" si="2"/>
        <v>1</v>
      </c>
      <c r="K970" s="7" t="str">
        <f>IFERROR(__xludf.DUMMYFUNCTION("regexreplace(G970, ""_"", """")"),"mrithalamuslesion")</f>
        <v>mrithalamuslesion</v>
      </c>
      <c r="L970" s="43"/>
      <c r="M970" s="52" t="s">
        <v>3731</v>
      </c>
    </row>
    <row r="971">
      <c r="A971" s="43"/>
      <c r="B971" s="40" t="s">
        <v>2964</v>
      </c>
      <c r="C971" s="41" t="s">
        <v>3732</v>
      </c>
      <c r="D971" s="41" t="s">
        <v>3600</v>
      </c>
      <c r="E971" s="51" t="s">
        <v>3733</v>
      </c>
      <c r="F971" s="44">
        <f t="shared" si="43"/>
        <v>1</v>
      </c>
      <c r="G971" s="41" t="s">
        <v>3734</v>
      </c>
      <c r="H971" s="43"/>
      <c r="I971" s="7" t="str">
        <f>IFERROR(__xludf.DUMMYFUNCTION("regexreplace(lower(C971), ""_"", """")"),"mritemporallesion")</f>
        <v>mritemporallesion</v>
      </c>
      <c r="J971" s="9" t="b">
        <f t="shared" si="2"/>
        <v>1</v>
      </c>
      <c r="K971" s="7" t="str">
        <f>IFERROR(__xludf.DUMMYFUNCTION("regexreplace(G971, ""_"", """")"),"mritemporallesion")</f>
        <v>mritemporallesion</v>
      </c>
      <c r="L971" s="43"/>
      <c r="M971" s="52" t="s">
        <v>3735</v>
      </c>
    </row>
    <row r="972">
      <c r="A972" s="43"/>
      <c r="B972" s="40" t="s">
        <v>2964</v>
      </c>
      <c r="C972" s="41" t="s">
        <v>3736</v>
      </c>
      <c r="D972" s="41" t="s">
        <v>3600</v>
      </c>
      <c r="E972" s="51" t="s">
        <v>3737</v>
      </c>
      <c r="F972" s="44">
        <f t="shared" si="43"/>
        <v>1</v>
      </c>
      <c r="G972" s="41" t="s">
        <v>3738</v>
      </c>
      <c r="H972" s="43"/>
      <c r="I972" s="7" t="str">
        <f>IFERROR(__xludf.DUMMYFUNCTION("regexreplace(lower(C972), ""_"", """")"),"mritemporaloccipitallesion")</f>
        <v>mritemporaloccipitallesion</v>
      </c>
      <c r="J972" s="9" t="b">
        <f t="shared" si="2"/>
        <v>1</v>
      </c>
      <c r="K972" s="7" t="str">
        <f>IFERROR(__xludf.DUMMYFUNCTION("regexreplace(G972, ""_"", """")"),"mritemporaloccipitallesion")</f>
        <v>mritemporaloccipitallesion</v>
      </c>
      <c r="L972" s="43"/>
      <c r="M972" s="52" t="s">
        <v>3739</v>
      </c>
    </row>
    <row r="973">
      <c r="A973" s="43"/>
      <c r="B973" s="40" t="s">
        <v>2964</v>
      </c>
      <c r="C973" s="41" t="s">
        <v>3740</v>
      </c>
      <c r="D973" s="40" t="s">
        <v>43</v>
      </c>
      <c r="E973" s="51" t="s">
        <v>3741</v>
      </c>
      <c r="F973" s="44">
        <f t="shared" si="43"/>
        <v>1</v>
      </c>
      <c r="G973" s="41" t="s">
        <v>3742</v>
      </c>
      <c r="H973" s="43"/>
      <c r="I973" s="7" t="str">
        <f>IFERROR(__xludf.DUMMYFUNCTION("regexreplace(lower(C973), ""_"", """")"),"mricerebralatrophymerge")</f>
        <v>mricerebralatrophymerge</v>
      </c>
      <c r="J973" s="9" t="b">
        <f t="shared" si="2"/>
        <v>1</v>
      </c>
      <c r="K973" s="7" t="str">
        <f>IFERROR(__xludf.DUMMYFUNCTION("regexreplace(G973, ""_"", """")"),"mricerebralatrophymerge")</f>
        <v>mricerebralatrophymerge</v>
      </c>
      <c r="L973" s="43"/>
      <c r="M973" s="52" t="s">
        <v>3743</v>
      </c>
    </row>
    <row r="974">
      <c r="A974" s="43"/>
      <c r="B974" s="40" t="s">
        <v>2964</v>
      </c>
      <c r="C974" s="41" t="s">
        <v>3744</v>
      </c>
      <c r="D974" s="41" t="s">
        <v>3397</v>
      </c>
      <c r="E974" s="51" t="s">
        <v>3745</v>
      </c>
      <c r="F974" s="44">
        <f t="shared" si="43"/>
        <v>1</v>
      </c>
      <c r="G974" s="41" t="s">
        <v>3746</v>
      </c>
      <c r="H974" s="43"/>
      <c r="I974" s="7" t="str">
        <f>IFERROR(__xludf.DUMMYFUNCTION("regexreplace(lower(C974), ""_"", """")"),"mricerebralatrophyqualassessccmerge")</f>
        <v>mricerebralatrophyqualassessccmerge</v>
      </c>
      <c r="J974" s="9" t="b">
        <f t="shared" si="2"/>
        <v>1</v>
      </c>
      <c r="K974" s="7" t="str">
        <f>IFERROR(__xludf.DUMMYFUNCTION("regexreplace(G974, ""_"", """")"),"mricerebralatrophyqualassessccmerge")</f>
        <v>mricerebralatrophyqualassessccmerge</v>
      </c>
      <c r="L974" s="43"/>
      <c r="M974" s="52" t="s">
        <v>3747</v>
      </c>
    </row>
    <row r="975">
      <c r="A975" s="43"/>
      <c r="B975" s="40" t="s">
        <v>2964</v>
      </c>
      <c r="C975" s="41" t="s">
        <v>3748</v>
      </c>
      <c r="D975" s="41" t="s">
        <v>3386</v>
      </c>
      <c r="E975" s="51" t="s">
        <v>3749</v>
      </c>
      <c r="F975" s="44">
        <f t="shared" si="43"/>
        <v>1</v>
      </c>
      <c r="G975" s="41" t="s">
        <v>3750</v>
      </c>
      <c r="H975" s="43"/>
      <c r="I975" s="7" t="str">
        <f>IFERROR(__xludf.DUMMYFUNCTION("regexreplace(lower(C975), ""_"", """")"),"mricerebralatrophygloballocalmerge")</f>
        <v>mricerebralatrophygloballocalmerge</v>
      </c>
      <c r="J975" s="9" t="b">
        <f t="shared" si="2"/>
        <v>1</v>
      </c>
      <c r="K975" s="7" t="str">
        <f>IFERROR(__xludf.DUMMYFUNCTION("regexreplace(G975, ""_"", """")"),"mricerebralatrophygloballocalmerge")</f>
        <v>mricerebralatrophygloballocalmerge</v>
      </c>
      <c r="L975" s="43"/>
      <c r="M975" s="52" t="s">
        <v>3751</v>
      </c>
    </row>
    <row r="976">
      <c r="A976" s="43"/>
      <c r="B976" s="40" t="s">
        <v>2964</v>
      </c>
      <c r="C976" s="41" t="s">
        <v>3752</v>
      </c>
      <c r="D976" s="40" t="s">
        <v>43</v>
      </c>
      <c r="E976" s="51" t="s">
        <v>3753</v>
      </c>
      <c r="F976" s="44">
        <f t="shared" si="43"/>
        <v>1</v>
      </c>
      <c r="G976" s="41" t="s">
        <v>3754</v>
      </c>
      <c r="H976" s="43"/>
      <c r="I976" s="7" t="str">
        <f>IFERROR(__xludf.DUMMYFUNCTION("regexreplace(lower(C976), ""_"", """")"),"mrivascularterritoryinfarctionmerge")</f>
        <v>mrivascularterritoryinfarctionmerge</v>
      </c>
      <c r="J976" s="9" t="b">
        <f t="shared" si="2"/>
        <v>1</v>
      </c>
      <c r="K976" s="7" t="str">
        <f>IFERROR(__xludf.DUMMYFUNCTION("regexreplace(G976, ""_"", """")"),"mrivascularterritoryinfarctionmerge")</f>
        <v>mrivascularterritoryinfarctionmerge</v>
      </c>
      <c r="L976" s="43"/>
      <c r="M976" s="52" t="s">
        <v>3755</v>
      </c>
    </row>
    <row r="977">
      <c r="A977" s="43"/>
      <c r="B977" s="40" t="s">
        <v>2964</v>
      </c>
      <c r="C977" s="41" t="s">
        <v>3756</v>
      </c>
      <c r="D977" s="40" t="s">
        <v>43</v>
      </c>
      <c r="E977" s="43"/>
      <c r="F977" s="44">
        <f t="shared" si="43"/>
        <v>1</v>
      </c>
      <c r="G977" s="41" t="s">
        <v>3757</v>
      </c>
      <c r="H977" s="43"/>
      <c r="I977" s="7" t="str">
        <f>IFERROR(__xludf.DUMMYFUNCTION("regexreplace(lower(C977), ""_"", """")"),"mrivascularterritoryinfarctionleftmerge")</f>
        <v>mrivascularterritoryinfarctionleftmerge</v>
      </c>
      <c r="J977" s="9" t="b">
        <f t="shared" si="2"/>
        <v>1</v>
      </c>
      <c r="K977" s="7" t="str">
        <f>IFERROR(__xludf.DUMMYFUNCTION("regexreplace(G977, ""_"", """")"),"mrivascularterritoryinfarctionleftmerge")</f>
        <v>mrivascularterritoryinfarctionleftmerge</v>
      </c>
      <c r="L977" s="52" t="s">
        <v>3758</v>
      </c>
      <c r="M977" s="43"/>
    </row>
    <row r="978">
      <c r="A978" s="43"/>
      <c r="B978" s="40" t="s">
        <v>2964</v>
      </c>
      <c r="C978" s="41" t="s">
        <v>3759</v>
      </c>
      <c r="D978" s="40" t="s">
        <v>43</v>
      </c>
      <c r="E978" s="43"/>
      <c r="F978" s="44">
        <f t="shared" si="43"/>
        <v>1</v>
      </c>
      <c r="G978" s="41" t="s">
        <v>3760</v>
      </c>
      <c r="H978" s="43"/>
      <c r="I978" s="7" t="str">
        <f>IFERROR(__xludf.DUMMYFUNCTION("regexreplace(lower(C978), ""_"", """")"),"mrivascularterritoryinfarctionrightmerge")</f>
        <v>mrivascularterritoryinfarctionrightmerge</v>
      </c>
      <c r="J978" s="9" t="b">
        <f t="shared" si="2"/>
        <v>1</v>
      </c>
      <c r="K978" s="7" t="str">
        <f>IFERROR(__xludf.DUMMYFUNCTION("regexreplace(G978, ""_"", """")"),"mrivascularterritoryinfarctionrightmerge")</f>
        <v>mrivascularterritoryinfarctionrightmerge</v>
      </c>
      <c r="L978" s="52" t="s">
        <v>3761</v>
      </c>
      <c r="M978" s="43"/>
    </row>
    <row r="979">
      <c r="A979" s="43"/>
      <c r="B979" s="40" t="s">
        <v>2964</v>
      </c>
      <c r="C979" s="41" t="s">
        <v>3762</v>
      </c>
      <c r="D979" s="40" t="s">
        <v>43</v>
      </c>
      <c r="E979" s="51" t="s">
        <v>3763</v>
      </c>
      <c r="F979" s="44">
        <f t="shared" si="43"/>
        <v>1</v>
      </c>
      <c r="G979" s="41" t="s">
        <v>3764</v>
      </c>
      <c r="H979" s="43"/>
      <c r="I979" s="7" t="str">
        <f>IFERROR(__xludf.DUMMYFUNCTION("regexreplace(lower(C979), ""_"", """")"),"mrihemisphericdevastation")</f>
        <v>mrihemisphericdevastation</v>
      </c>
      <c r="J979" s="9" t="b">
        <f t="shared" si="2"/>
        <v>1</v>
      </c>
      <c r="K979" s="7" t="str">
        <f>IFERROR(__xludf.DUMMYFUNCTION("regexreplace(G979, ""_"", """")"),"mrihemisphericdevastation")</f>
        <v>mrihemisphericdevastation</v>
      </c>
      <c r="L979" s="43"/>
      <c r="M979" s="52" t="s">
        <v>3765</v>
      </c>
    </row>
    <row r="980">
      <c r="A980" s="43"/>
      <c r="B980" s="40" t="s">
        <v>2964</v>
      </c>
      <c r="C980" s="41" t="s">
        <v>3766</v>
      </c>
      <c r="D980" s="41" t="s">
        <v>3397</v>
      </c>
      <c r="E980" s="51" t="s">
        <v>3767</v>
      </c>
      <c r="F980" s="44">
        <f t="shared" si="43"/>
        <v>1</v>
      </c>
      <c r="G980" s="41" t="s">
        <v>3768</v>
      </c>
      <c r="H980" s="43"/>
      <c r="I980" s="7" t="str">
        <f>IFERROR(__xludf.DUMMYFUNCTION("regexreplace(lower(C980), ""_"", """")"),"mriventriculardilatation")</f>
        <v>mriventriculardilatation</v>
      </c>
      <c r="J980" s="9" t="b">
        <f t="shared" si="2"/>
        <v>1</v>
      </c>
      <c r="K980" s="7" t="str">
        <f>IFERROR(__xludf.DUMMYFUNCTION("regexreplace(G980, ""_"", """")"),"mriventriculardilatation")</f>
        <v>mriventriculardilatation</v>
      </c>
      <c r="L980" s="43"/>
      <c r="M980" s="52" t="s">
        <v>3769</v>
      </c>
    </row>
    <row r="981">
      <c r="A981" s="43"/>
      <c r="B981" s="40" t="s">
        <v>2964</v>
      </c>
      <c r="C981" s="41" t="s">
        <v>3770</v>
      </c>
      <c r="D981" s="41" t="s">
        <v>3600</v>
      </c>
      <c r="E981" s="51" t="s">
        <v>3771</v>
      </c>
      <c r="F981" s="44">
        <f t="shared" si="43"/>
        <v>1</v>
      </c>
      <c r="G981" s="41" t="s">
        <v>3772</v>
      </c>
      <c r="H981" s="43"/>
      <c r="I981" s="7" t="str">
        <f>IFERROR(__xludf.DUMMYFUNCTION("regexreplace(lower(C981), ""_"", """")"),"mrivascularlesion")</f>
        <v>mrivascularlesion</v>
      </c>
      <c r="J981" s="9" t="b">
        <f t="shared" si="2"/>
        <v>1</v>
      </c>
      <c r="K981" s="7" t="str">
        <f>IFERROR(__xludf.DUMMYFUNCTION("regexreplace(G981, ""_"", """")"),"mrivascularlesion")</f>
        <v>mrivascularlesion</v>
      </c>
      <c r="L981" s="43"/>
      <c r="M981" s="52" t="s">
        <v>3773</v>
      </c>
    </row>
    <row r="982">
      <c r="A982" s="43"/>
      <c r="B982" s="40" t="s">
        <v>2964</v>
      </c>
      <c r="C982" s="41" t="s">
        <v>3774</v>
      </c>
      <c r="D982" s="41" t="s">
        <v>3600</v>
      </c>
      <c r="E982" s="51" t="s">
        <v>3775</v>
      </c>
      <c r="F982" s="44">
        <f t="shared" si="43"/>
        <v>1</v>
      </c>
      <c r="G982" s="41" t="s">
        <v>3776</v>
      </c>
      <c r="H982" s="43"/>
      <c r="I982" s="7" t="str">
        <f>IFERROR(__xludf.DUMMYFUNCTION("regexreplace(lower(C982), ""_"", """")"),"mriintraventricularlesion")</f>
        <v>mriintraventricularlesion</v>
      </c>
      <c r="J982" s="9" t="b">
        <f t="shared" si="2"/>
        <v>1</v>
      </c>
      <c r="K982" s="7" t="str">
        <f>IFERROR(__xludf.DUMMYFUNCTION("regexreplace(G982, ""_"", """")"),"mriintraventricularlesion")</f>
        <v>mriintraventricularlesion</v>
      </c>
      <c r="L982" s="43"/>
      <c r="M982" s="52" t="s">
        <v>3777</v>
      </c>
    </row>
    <row r="983">
      <c r="A983" s="12"/>
      <c r="B983" s="12"/>
      <c r="C983" s="13"/>
      <c r="D983" s="12"/>
      <c r="E983" s="12"/>
      <c r="F983" s="14">
        <f t="shared" si="43"/>
        <v>0</v>
      </c>
      <c r="G983" s="12"/>
      <c r="H983" s="12"/>
      <c r="I983" s="7" t="str">
        <f>IFERROR(__xludf.DUMMYFUNCTION("regexreplace(lower(C983), ""_"", """")"),"")</f>
        <v/>
      </c>
      <c r="J983" s="9" t="str">
        <f t="shared" si="2"/>
        <v/>
      </c>
      <c r="K983" s="7" t="str">
        <f>IFERROR(__xludf.DUMMYFUNCTION("regexreplace(G983, ""_"", """")"),"")</f>
        <v/>
      </c>
      <c r="L983" s="12"/>
      <c r="M983" s="12"/>
    </row>
    <row r="984">
      <c r="A984" s="12"/>
      <c r="B984" s="12"/>
      <c r="C984" s="13"/>
      <c r="D984" s="12"/>
      <c r="E984" s="12"/>
      <c r="F984" s="12"/>
      <c r="G984" s="12"/>
      <c r="H984" s="12"/>
      <c r="I984" s="7" t="str">
        <f>IFERROR(__xludf.DUMMYFUNCTION("regexreplace(lower(C984), ""_"", """")"),"")</f>
        <v/>
      </c>
      <c r="J984" s="9" t="str">
        <f t="shared" si="2"/>
        <v/>
      </c>
      <c r="K984" s="7" t="str">
        <f>IFERROR(__xludf.DUMMYFUNCTION("regexreplace(G984, ""_"", """")"),"")</f>
        <v/>
      </c>
      <c r="L984" s="12"/>
      <c r="M984" s="12"/>
    </row>
    <row r="985">
      <c r="A985" s="54" t="s">
        <v>3778</v>
      </c>
      <c r="B985" s="54" t="s">
        <v>3779</v>
      </c>
      <c r="C985" s="54" t="s">
        <v>3780</v>
      </c>
      <c r="D985" s="54" t="s">
        <v>3780</v>
      </c>
      <c r="E985" s="55" t="s">
        <v>3781</v>
      </c>
      <c r="F985" s="55"/>
      <c r="G985" s="56" t="s">
        <v>3782</v>
      </c>
      <c r="H985" s="55"/>
      <c r="I985" s="7" t="str">
        <f>IFERROR(__xludf.DUMMYFUNCTION("regexreplace(lower(C985), ""_"", """")"),"experimentstatus")</f>
        <v>experimentstatus</v>
      </c>
      <c r="J985" s="9" t="b">
        <f t="shared" si="2"/>
        <v>1</v>
      </c>
      <c r="K985" s="7" t="str">
        <f>IFERROR(__xludf.DUMMYFUNCTION("regexreplace(G985, ""_"", """")"),"experimentstatus")</f>
        <v>experimentstatus</v>
      </c>
      <c r="L985" s="55"/>
      <c r="M985" s="55"/>
    </row>
    <row r="986">
      <c r="A986" s="55"/>
      <c r="B986" s="54" t="s">
        <v>3779</v>
      </c>
      <c r="C986" s="54" t="s">
        <v>3783</v>
      </c>
      <c r="D986" s="54" t="s">
        <v>3783</v>
      </c>
      <c r="E986" s="55" t="s">
        <v>3784</v>
      </c>
      <c r="F986" s="57">
        <f t="shared" ref="F986:F1015" si="44">counta(L986:M986)</f>
        <v>1</v>
      </c>
      <c r="G986" s="54" t="s">
        <v>3783</v>
      </c>
      <c r="H986" s="54" t="s">
        <v>3785</v>
      </c>
      <c r="I986" s="7" t="str">
        <f>IFERROR(__xludf.DUMMYFUNCTION("regexreplace(lower(C986), ""_"", """")"),"status")</f>
        <v>status</v>
      </c>
      <c r="J986" s="9" t="b">
        <f t="shared" si="2"/>
        <v>1</v>
      </c>
      <c r="K986" s="7" t="str">
        <f>IFERROR(__xludf.DUMMYFUNCTION("regexreplace(G986, ""_"", """")"),"status")</f>
        <v>status</v>
      </c>
      <c r="L986" s="55" t="s">
        <v>3786</v>
      </c>
      <c r="M986" s="55"/>
    </row>
    <row r="987">
      <c r="A987" s="55"/>
      <c r="B987" s="54" t="s">
        <v>3779</v>
      </c>
      <c r="C987" s="54" t="s">
        <v>3787</v>
      </c>
      <c r="D987" s="54" t="s">
        <v>29</v>
      </c>
      <c r="E987" s="55" t="s">
        <v>3788</v>
      </c>
      <c r="F987" s="57">
        <f t="shared" si="44"/>
        <v>1</v>
      </c>
      <c r="G987" s="54" t="s">
        <v>3789</v>
      </c>
      <c r="H987" s="54" t="s">
        <v>3790</v>
      </c>
      <c r="I987" s="7" t="str">
        <f>IFERROR(__xludf.DUMMYFUNCTION("regexreplace(lower(C987), ""_"", """")"),"statusdate")</f>
        <v>statusdate</v>
      </c>
      <c r="J987" s="9" t="b">
        <f t="shared" si="2"/>
        <v>1</v>
      </c>
      <c r="K987" s="7" t="str">
        <f>IFERROR(__xludf.DUMMYFUNCTION("regexreplace(G987, ""_"", """")"),"statusdate")</f>
        <v>statusdate</v>
      </c>
      <c r="L987" s="55"/>
      <c r="M987" s="55" t="s">
        <v>3791</v>
      </c>
    </row>
    <row r="988">
      <c r="A988" s="55"/>
      <c r="B988" s="54" t="s">
        <v>3779</v>
      </c>
      <c r="C988" s="54" t="s">
        <v>3792</v>
      </c>
      <c r="D988" s="54" t="s">
        <v>3783</v>
      </c>
      <c r="E988" s="55" t="s">
        <v>3793</v>
      </c>
      <c r="F988" s="57">
        <f t="shared" si="44"/>
        <v>2</v>
      </c>
      <c r="G988" s="54" t="s">
        <v>3794</v>
      </c>
      <c r="H988" s="55"/>
      <c r="I988" s="7" t="str">
        <f>IFERROR(__xludf.DUMMYFUNCTION("regexreplace(lower(C988), ""_"", """")"),"dischargestatus")</f>
        <v>dischargestatus</v>
      </c>
      <c r="J988" s="9" t="b">
        <f t="shared" si="2"/>
        <v>1</v>
      </c>
      <c r="K988" s="7" t="str">
        <f>IFERROR(__xludf.DUMMYFUNCTION("regexreplace(G988, ""_"", """")"),"dischargestatus")</f>
        <v>dischargestatus</v>
      </c>
      <c r="L988" s="55" t="s">
        <v>3795</v>
      </c>
      <c r="M988" s="55" t="s">
        <v>3796</v>
      </c>
    </row>
    <row r="989">
      <c r="A989" s="55"/>
      <c r="B989" s="54" t="s">
        <v>3779</v>
      </c>
      <c r="C989" s="54" t="s">
        <v>3797</v>
      </c>
      <c r="D989" s="54" t="s">
        <v>29</v>
      </c>
      <c r="E989" s="55" t="s">
        <v>3798</v>
      </c>
      <c r="F989" s="57">
        <f t="shared" si="44"/>
        <v>2</v>
      </c>
      <c r="G989" s="54" t="s">
        <v>3799</v>
      </c>
      <c r="H989" s="55"/>
      <c r="I989" s="7" t="str">
        <f>IFERROR(__xludf.DUMMYFUNCTION("regexreplace(lower(C989), ""_"", """")"),"dischargedate")</f>
        <v>dischargedate</v>
      </c>
      <c r="J989" s="9" t="b">
        <f t="shared" si="2"/>
        <v>1</v>
      </c>
      <c r="K989" s="7" t="str">
        <f>IFERROR(__xludf.DUMMYFUNCTION("regexreplace(G989, ""_"", """")"),"dischargedate")</f>
        <v>dischargedate</v>
      </c>
      <c r="L989" s="55" t="s">
        <v>3800</v>
      </c>
      <c r="M989" s="55" t="s">
        <v>3801</v>
      </c>
    </row>
    <row r="990">
      <c r="A990" s="55"/>
      <c r="B990" s="54" t="s">
        <v>3779</v>
      </c>
      <c r="C990" s="54" t="s">
        <v>3802</v>
      </c>
      <c r="D990" s="54" t="s">
        <v>154</v>
      </c>
      <c r="E990" s="55" t="s">
        <v>3803</v>
      </c>
      <c r="F990" s="57">
        <f t="shared" si="44"/>
        <v>2</v>
      </c>
      <c r="G990" s="54" t="s">
        <v>3804</v>
      </c>
      <c r="H990" s="55"/>
      <c r="I990" s="7" t="str">
        <f>IFERROR(__xludf.DUMMYFUNCTION("regexreplace(lower(C990), ""_"", """")"),"dischargeweightg")</f>
        <v>dischargeweightg</v>
      </c>
      <c r="J990" s="9" t="b">
        <f t="shared" si="2"/>
        <v>1</v>
      </c>
      <c r="K990" s="7" t="str">
        <f>IFERROR(__xludf.DUMMYFUNCTION("regexreplace(G990, ""_"", """")"),"dischargeweightg")</f>
        <v>dischargeweightg</v>
      </c>
      <c r="L990" s="55" t="s">
        <v>3805</v>
      </c>
      <c r="M990" s="55" t="s">
        <v>3806</v>
      </c>
    </row>
    <row r="991">
      <c r="A991" s="55"/>
      <c r="B991" s="54" t="s">
        <v>3779</v>
      </c>
      <c r="C991" s="54" t="s">
        <v>3807</v>
      </c>
      <c r="D991" s="54" t="s">
        <v>154</v>
      </c>
      <c r="E991" s="55" t="s">
        <v>3808</v>
      </c>
      <c r="F991" s="57">
        <f t="shared" si="44"/>
        <v>2</v>
      </c>
      <c r="G991" s="54" t="s">
        <v>3809</v>
      </c>
      <c r="H991" s="55"/>
      <c r="I991" s="7" t="str">
        <f>IFERROR(__xludf.DUMMYFUNCTION("regexreplace(lower(C991), ""_"", """")"),"dischargelengthcm")</f>
        <v>dischargelengthcm</v>
      </c>
      <c r="J991" s="9" t="b">
        <f t="shared" si="2"/>
        <v>1</v>
      </c>
      <c r="K991" s="7" t="str">
        <f>IFERROR(__xludf.DUMMYFUNCTION("regexreplace(G991, ""_"", """")"),"dischargelengthcm")</f>
        <v>dischargelengthcm</v>
      </c>
      <c r="L991" s="55" t="s">
        <v>3810</v>
      </c>
      <c r="M991" s="55" t="s">
        <v>3811</v>
      </c>
    </row>
    <row r="992">
      <c r="A992" s="55"/>
      <c r="B992" s="54" t="s">
        <v>3779</v>
      </c>
      <c r="C992" s="54" t="s">
        <v>3812</v>
      </c>
      <c r="D992" s="54" t="s">
        <v>154</v>
      </c>
      <c r="E992" s="55" t="s">
        <v>3813</v>
      </c>
      <c r="F992" s="57">
        <f t="shared" si="44"/>
        <v>2</v>
      </c>
      <c r="G992" s="54" t="s">
        <v>3814</v>
      </c>
      <c r="H992" s="55"/>
      <c r="I992" s="7" t="str">
        <f>IFERROR(__xludf.DUMMYFUNCTION("regexreplace(lower(C992), ""_"", """")"),"dischargeheadcircumferencecm")</f>
        <v>dischargeheadcircumferencecm</v>
      </c>
      <c r="J992" s="9" t="b">
        <f t="shared" si="2"/>
        <v>1</v>
      </c>
      <c r="K992" s="7" t="str">
        <f>IFERROR(__xludf.DUMMYFUNCTION("regexreplace(G992, ""_"", """")"),"dischargeheadcircumferencecm")</f>
        <v>dischargeheadcircumferencecm</v>
      </c>
      <c r="L992" s="55" t="s">
        <v>3815</v>
      </c>
      <c r="M992" s="55" t="s">
        <v>3816</v>
      </c>
    </row>
    <row r="993">
      <c r="A993" s="55"/>
      <c r="B993" s="54" t="s">
        <v>3779</v>
      </c>
      <c r="C993" s="54" t="s">
        <v>3817</v>
      </c>
      <c r="D993" s="54" t="s">
        <v>3817</v>
      </c>
      <c r="E993" s="55" t="s">
        <v>3818</v>
      </c>
      <c r="F993" s="57">
        <f t="shared" si="44"/>
        <v>2</v>
      </c>
      <c r="G993" s="54" t="s">
        <v>3819</v>
      </c>
      <c r="H993" s="55"/>
      <c r="I993" s="7" t="str">
        <f>IFERROR(__xludf.DUMMYFUNCTION("regexreplace(lower(C993), ""_"", """")"),"transferreason")</f>
        <v>transferreason</v>
      </c>
      <c r="J993" s="9" t="b">
        <f t="shared" si="2"/>
        <v>1</v>
      </c>
      <c r="K993" s="7" t="str">
        <f>IFERROR(__xludf.DUMMYFUNCTION("regexreplace(G993, ""_"", """")"),"transferreason")</f>
        <v>transferreason</v>
      </c>
      <c r="L993" s="55" t="s">
        <v>3820</v>
      </c>
      <c r="M993" s="55" t="s">
        <v>3821</v>
      </c>
    </row>
    <row r="994">
      <c r="A994" s="55"/>
      <c r="B994" s="54" t="s">
        <v>3779</v>
      </c>
      <c r="C994" s="54" t="s">
        <v>3822</v>
      </c>
      <c r="D994" s="54" t="s">
        <v>29</v>
      </c>
      <c r="E994" s="55" t="s">
        <v>3823</v>
      </c>
      <c r="F994" s="57">
        <f t="shared" si="44"/>
        <v>1</v>
      </c>
      <c r="G994" s="54" t="s">
        <v>3824</v>
      </c>
      <c r="H994" s="55"/>
      <c r="I994" s="7" t="str">
        <f>IFERROR(__xludf.DUMMYFUNCTION("regexreplace(lower(C994), ""_"", """")"),"transferdate")</f>
        <v>transferdate</v>
      </c>
      <c r="J994" s="9" t="b">
        <f t="shared" si="2"/>
        <v>1</v>
      </c>
      <c r="K994" s="7" t="str">
        <f>IFERROR(__xludf.DUMMYFUNCTION("regexreplace(G994, ""_"", """")"),"transferdate")</f>
        <v>transferdate</v>
      </c>
      <c r="L994" s="55" t="s">
        <v>3825</v>
      </c>
      <c r="M994" s="55"/>
    </row>
    <row r="995">
      <c r="A995" s="55"/>
      <c r="B995" s="54" t="s">
        <v>3779</v>
      </c>
      <c r="C995" s="54" t="s">
        <v>3826</v>
      </c>
      <c r="D995" s="54" t="s">
        <v>154</v>
      </c>
      <c r="E995" s="55" t="s">
        <v>3827</v>
      </c>
      <c r="F995" s="57">
        <f t="shared" si="44"/>
        <v>1</v>
      </c>
      <c r="G995" s="54" t="s">
        <v>3828</v>
      </c>
      <c r="H995" s="54" t="s">
        <v>3829</v>
      </c>
      <c r="I995" s="7" t="str">
        <f>IFERROR(__xludf.DUMMYFUNCTION("regexreplace(lower(C995), ""_"", """")"),"transferweightg")</f>
        <v>transferweightg</v>
      </c>
      <c r="J995" s="9" t="b">
        <f t="shared" si="2"/>
        <v>1</v>
      </c>
      <c r="K995" s="7" t="str">
        <f>IFERROR(__xludf.DUMMYFUNCTION("regexreplace(G995, ""_"", """")"),"transferweightg")</f>
        <v>transferweightg</v>
      </c>
      <c r="L995" s="55" t="s">
        <v>3830</v>
      </c>
      <c r="M995" s="55"/>
    </row>
    <row r="996">
      <c r="A996" s="55"/>
      <c r="B996" s="54" t="s">
        <v>3779</v>
      </c>
      <c r="C996" s="54" t="s">
        <v>3831</v>
      </c>
      <c r="D996" s="54" t="s">
        <v>154</v>
      </c>
      <c r="E996" s="55" t="s">
        <v>3832</v>
      </c>
      <c r="F996" s="57">
        <f t="shared" si="44"/>
        <v>1</v>
      </c>
      <c r="G996" s="54" t="s">
        <v>3833</v>
      </c>
      <c r="H996" s="54" t="s">
        <v>3834</v>
      </c>
      <c r="I996" s="7" t="str">
        <f>IFERROR(__xludf.DUMMYFUNCTION("regexreplace(lower(C996), ""_"", """")"),"transferlengthcm")</f>
        <v>transferlengthcm</v>
      </c>
      <c r="J996" s="9" t="b">
        <f t="shared" si="2"/>
        <v>1</v>
      </c>
      <c r="K996" s="7" t="str">
        <f>IFERROR(__xludf.DUMMYFUNCTION("regexreplace(G996, ""_"", """")"),"transferlengthcm")</f>
        <v>transferlengthcm</v>
      </c>
      <c r="L996" s="55" t="s">
        <v>3835</v>
      </c>
      <c r="M996" s="55"/>
    </row>
    <row r="997">
      <c r="A997" s="55"/>
      <c r="B997" s="54" t="s">
        <v>3779</v>
      </c>
      <c r="C997" s="54" t="s">
        <v>3836</v>
      </c>
      <c r="D997" s="54" t="s">
        <v>154</v>
      </c>
      <c r="E997" s="55" t="s">
        <v>3837</v>
      </c>
      <c r="F997" s="57">
        <f t="shared" si="44"/>
        <v>1</v>
      </c>
      <c r="G997" s="54" t="s">
        <v>3838</v>
      </c>
      <c r="H997" s="54" t="s">
        <v>3839</v>
      </c>
      <c r="I997" s="7" t="str">
        <f>IFERROR(__xludf.DUMMYFUNCTION("regexreplace(lower(C997), ""_"", """")"),"transferheadcircumferencecm")</f>
        <v>transferheadcircumferencecm</v>
      </c>
      <c r="J997" s="9" t="b">
        <f t="shared" si="2"/>
        <v>1</v>
      </c>
      <c r="K997" s="7" t="str">
        <f>IFERROR(__xludf.DUMMYFUNCTION("regexreplace(G997, ""_"", """")"),"transferheadcircumferencecm")</f>
        <v>transferheadcircumferencecm</v>
      </c>
      <c r="L997" s="55" t="s">
        <v>3840</v>
      </c>
      <c r="M997" s="55"/>
    </row>
    <row r="998">
      <c r="A998" s="55"/>
      <c r="B998" s="54" t="s">
        <v>3779</v>
      </c>
      <c r="C998" s="54" t="s">
        <v>3841</v>
      </c>
      <c r="D998" s="54" t="s">
        <v>3841</v>
      </c>
      <c r="E998" s="55" t="s">
        <v>3842</v>
      </c>
      <c r="F998" s="57">
        <f t="shared" si="44"/>
        <v>2</v>
      </c>
      <c r="G998" s="54" t="s">
        <v>3843</v>
      </c>
      <c r="H998" s="55"/>
      <c r="I998" s="7" t="str">
        <f>IFERROR(__xludf.DUMMYFUNCTION("regexreplace(lower(C998), ""_"", """")"),"transferoutcome")</f>
        <v>transferoutcome</v>
      </c>
      <c r="J998" s="9" t="b">
        <f t="shared" si="2"/>
        <v>1</v>
      </c>
      <c r="K998" s="7" t="str">
        <f>IFERROR(__xludf.DUMMYFUNCTION("regexreplace(G998, ""_"", """")"),"transferoutcome")</f>
        <v>transferoutcome</v>
      </c>
      <c r="L998" s="55" t="s">
        <v>3844</v>
      </c>
      <c r="M998" s="55" t="s">
        <v>3845</v>
      </c>
    </row>
    <row r="999">
      <c r="A999" s="55"/>
      <c r="B999" s="54" t="s">
        <v>3779</v>
      </c>
      <c r="C999" s="54" t="s">
        <v>3846</v>
      </c>
      <c r="D999" s="54" t="s">
        <v>43</v>
      </c>
      <c r="E999" s="55" t="s">
        <v>3847</v>
      </c>
      <c r="F999" s="57">
        <f t="shared" si="44"/>
        <v>1</v>
      </c>
      <c r="G999" s="54" t="s">
        <v>3848</v>
      </c>
      <c r="H999" s="54" t="s">
        <v>3849</v>
      </c>
      <c r="I999" s="7" t="str">
        <f>IFERROR(__xludf.DUMMYFUNCTION("regexreplace(lower(C999), ""_"", """")"),"hometherapystatus")</f>
        <v>hometherapystatus</v>
      </c>
      <c r="J999" s="9" t="b">
        <f t="shared" si="2"/>
        <v>1</v>
      </c>
      <c r="K999" s="7" t="str">
        <f>IFERROR(__xludf.DUMMYFUNCTION("regexreplace(G999, ""_"", """")"),"hometherapystatus")</f>
        <v>hometherapystatus</v>
      </c>
      <c r="L999" s="55" t="s">
        <v>3850</v>
      </c>
      <c r="M999" s="55"/>
    </row>
    <row r="1000">
      <c r="A1000" s="55"/>
      <c r="B1000" s="54" t="s">
        <v>3779</v>
      </c>
      <c r="C1000" s="54" t="s">
        <v>3851</v>
      </c>
      <c r="D1000" s="54" t="s">
        <v>43</v>
      </c>
      <c r="E1000" s="55" t="s">
        <v>3852</v>
      </c>
      <c r="F1000" s="57">
        <f t="shared" si="44"/>
        <v>1</v>
      </c>
      <c r="G1000" s="54" t="s">
        <v>3853</v>
      </c>
      <c r="H1000" s="54" t="s">
        <v>3849</v>
      </c>
      <c r="I1000" s="7" t="str">
        <f>IFERROR(__xludf.DUMMYFUNCTION("regexreplace(lower(C1000), ""_"", """")"),"hometherapyventilator")</f>
        <v>hometherapyventilator</v>
      </c>
      <c r="J1000" s="9" t="b">
        <f t="shared" si="2"/>
        <v>1</v>
      </c>
      <c r="K1000" s="7" t="str">
        <f>IFERROR(__xludf.DUMMYFUNCTION("regexreplace(G1000, ""_"", """")"),"hometherapyventilator")</f>
        <v>hometherapyventilator</v>
      </c>
      <c r="L1000" s="55" t="s">
        <v>3854</v>
      </c>
      <c r="M1000" s="55"/>
    </row>
    <row r="1001">
      <c r="A1001" s="55"/>
      <c r="B1001" s="54" t="s">
        <v>3779</v>
      </c>
      <c r="C1001" s="54" t="s">
        <v>3855</v>
      </c>
      <c r="D1001" s="54" t="s">
        <v>43</v>
      </c>
      <c r="E1001" s="55" t="s">
        <v>3856</v>
      </c>
      <c r="F1001" s="57">
        <f t="shared" si="44"/>
        <v>1</v>
      </c>
      <c r="G1001" s="54" t="s">
        <v>3857</v>
      </c>
      <c r="H1001" s="54" t="s">
        <v>3849</v>
      </c>
      <c r="I1001" s="7" t="str">
        <f>IFERROR(__xludf.DUMMYFUNCTION("regexreplace(lower(C1001), ""_"", """")"),"hometherapyoxygen")</f>
        <v>hometherapyoxygen</v>
      </c>
      <c r="J1001" s="9" t="b">
        <f t="shared" si="2"/>
        <v>1</v>
      </c>
      <c r="K1001" s="7" t="str">
        <f>IFERROR(__xludf.DUMMYFUNCTION("regexreplace(G1001, ""_"", """")"),"hometherapyoxygen")</f>
        <v>hometherapyoxygen</v>
      </c>
      <c r="L1001" s="55" t="s">
        <v>3858</v>
      </c>
      <c r="M1001" s="55"/>
    </row>
    <row r="1002">
      <c r="A1002" s="55"/>
      <c r="B1002" s="54" t="s">
        <v>3779</v>
      </c>
      <c r="C1002" s="54" t="s">
        <v>3859</v>
      </c>
      <c r="D1002" s="54" t="s">
        <v>43</v>
      </c>
      <c r="E1002" s="55" t="s">
        <v>3860</v>
      </c>
      <c r="F1002" s="57">
        <f t="shared" si="44"/>
        <v>1</v>
      </c>
      <c r="G1002" s="54" t="s">
        <v>3861</v>
      </c>
      <c r="H1002" s="54" t="s">
        <v>3849</v>
      </c>
      <c r="I1002" s="7" t="str">
        <f>IFERROR(__xludf.DUMMYFUNCTION("regexreplace(lower(C1002), ""_"", """")"),"hometherapygavagetubefeed")</f>
        <v>hometherapygavagetubefeed</v>
      </c>
      <c r="J1002" s="9" t="b">
        <f t="shared" si="2"/>
        <v>1</v>
      </c>
      <c r="K1002" s="7" t="str">
        <f>IFERROR(__xludf.DUMMYFUNCTION("regexreplace(G1002, ""_"", """")"),"hometherapygavagetubefeed")</f>
        <v>hometherapygavagetubefeed</v>
      </c>
      <c r="L1002" s="55" t="s">
        <v>3862</v>
      </c>
      <c r="M1002" s="55"/>
    </row>
    <row r="1003">
      <c r="A1003" s="55"/>
      <c r="B1003" s="54" t="s">
        <v>3779</v>
      </c>
      <c r="C1003" s="54" t="s">
        <v>3863</v>
      </c>
      <c r="D1003" s="54" t="s">
        <v>43</v>
      </c>
      <c r="E1003" s="55" t="s">
        <v>3864</v>
      </c>
      <c r="F1003" s="57">
        <f t="shared" si="44"/>
        <v>1</v>
      </c>
      <c r="G1003" s="54" t="s">
        <v>3865</v>
      </c>
      <c r="H1003" s="54" t="s">
        <v>3849</v>
      </c>
      <c r="I1003" s="7" t="str">
        <f>IFERROR(__xludf.DUMMYFUNCTION("regexreplace(lower(C1003), ""_"", """")"),"hometherapygastrostomytubefeed")</f>
        <v>hometherapygastrostomytubefeed</v>
      </c>
      <c r="J1003" s="9" t="b">
        <f t="shared" si="2"/>
        <v>1</v>
      </c>
      <c r="K1003" s="7" t="str">
        <f>IFERROR(__xludf.DUMMYFUNCTION("regexreplace(G1003, ""_"", """")"),"hometherapygastrostomytubefeed")</f>
        <v>hometherapygastrostomytubefeed</v>
      </c>
      <c r="L1003" s="55" t="s">
        <v>3866</v>
      </c>
      <c r="M1003" s="55"/>
    </row>
    <row r="1004">
      <c r="A1004" s="55"/>
      <c r="B1004" s="54" t="s">
        <v>3779</v>
      </c>
      <c r="C1004" s="54" t="s">
        <v>3867</v>
      </c>
      <c r="D1004" s="54" t="s">
        <v>43</v>
      </c>
      <c r="E1004" s="55" t="s">
        <v>3868</v>
      </c>
      <c r="F1004" s="57">
        <f t="shared" si="44"/>
        <v>1</v>
      </c>
      <c r="G1004" s="54" t="s">
        <v>3869</v>
      </c>
      <c r="H1004" s="54" t="s">
        <v>3849</v>
      </c>
      <c r="I1004" s="7" t="str">
        <f>IFERROR(__xludf.DUMMYFUNCTION("regexreplace(lower(C1004), ""_"", """")"),"hometherapytemperatureblanket")</f>
        <v>hometherapytemperatureblanket</v>
      </c>
      <c r="J1004" s="9" t="b">
        <f t="shared" si="2"/>
        <v>1</v>
      </c>
      <c r="K1004" s="7" t="str">
        <f>IFERROR(__xludf.DUMMYFUNCTION("regexreplace(G1004, ""_"", """")"),"hometherapytemperatureblanket")</f>
        <v>hometherapytemperatureblanket</v>
      </c>
      <c r="L1004" s="55" t="s">
        <v>3870</v>
      </c>
      <c r="M1004" s="55"/>
    </row>
    <row r="1005">
      <c r="A1005" s="55"/>
      <c r="B1005" s="54" t="s">
        <v>3779</v>
      </c>
      <c r="C1005" s="54" t="s">
        <v>3871</v>
      </c>
      <c r="D1005" s="54" t="s">
        <v>43</v>
      </c>
      <c r="E1005" s="55" t="s">
        <v>3872</v>
      </c>
      <c r="F1005" s="57">
        <f t="shared" si="44"/>
        <v>1</v>
      </c>
      <c r="G1005" s="54" t="s">
        <v>3873</v>
      </c>
      <c r="H1005" s="54" t="s">
        <v>3849</v>
      </c>
      <c r="I1005" s="7" t="str">
        <f>IFERROR(__xludf.DUMMYFUNCTION("regexreplace(lower(C1005), ""_"", """")"),"hometherapyanticonvulsantmedication")</f>
        <v>hometherapyanticonvulsantmedication</v>
      </c>
      <c r="J1005" s="9" t="b">
        <f t="shared" si="2"/>
        <v>1</v>
      </c>
      <c r="K1005" s="7" t="str">
        <f>IFERROR(__xludf.DUMMYFUNCTION("regexreplace(G1005, ""_"", """")"),"hometherapyanticonvulsantmedication")</f>
        <v>hometherapyanticonvulsantmedication</v>
      </c>
      <c r="L1005" s="55" t="s">
        <v>3874</v>
      </c>
      <c r="M1005" s="55"/>
    </row>
    <row r="1006">
      <c r="A1006" s="55"/>
      <c r="B1006" s="54" t="s">
        <v>3779</v>
      </c>
      <c r="C1006" s="54" t="s">
        <v>3875</v>
      </c>
      <c r="D1006" s="54" t="s">
        <v>43</v>
      </c>
      <c r="E1006" s="55" t="s">
        <v>2671</v>
      </c>
      <c r="F1006" s="57">
        <f t="shared" si="44"/>
        <v>1</v>
      </c>
      <c r="G1006" s="54" t="s">
        <v>3876</v>
      </c>
      <c r="H1006" s="54" t="s">
        <v>3849</v>
      </c>
      <c r="I1006" s="7" t="str">
        <f>IFERROR(__xludf.DUMMYFUNCTION("regexreplace(lower(C1006), ""_"", """")"),"hometherapyother")</f>
        <v>hometherapyother</v>
      </c>
      <c r="J1006" s="9" t="b">
        <f t="shared" si="2"/>
        <v>1</v>
      </c>
      <c r="K1006" s="7" t="str">
        <f>IFERROR(__xludf.DUMMYFUNCTION("regexreplace(G1006, ""_"", """")"),"hometherapyother")</f>
        <v>hometherapyother</v>
      </c>
      <c r="L1006" s="55" t="s">
        <v>3877</v>
      </c>
      <c r="M1006" s="55"/>
    </row>
    <row r="1007">
      <c r="A1007" s="55"/>
      <c r="B1007" s="54" t="s">
        <v>3779</v>
      </c>
      <c r="C1007" s="54" t="s">
        <v>3878</v>
      </c>
      <c r="D1007" s="54" t="s">
        <v>19</v>
      </c>
      <c r="E1007" s="55" t="s">
        <v>2676</v>
      </c>
      <c r="F1007" s="57">
        <f t="shared" si="44"/>
        <v>1</v>
      </c>
      <c r="G1007" s="54" t="s">
        <v>3879</v>
      </c>
      <c r="H1007" s="54" t="s">
        <v>3849</v>
      </c>
      <c r="I1007" s="7" t="str">
        <f>IFERROR(__xludf.DUMMYFUNCTION("regexreplace(lower(C1007), ""_"", """")"),"hometherapyothertext")</f>
        <v>hometherapyothertext</v>
      </c>
      <c r="J1007" s="9" t="b">
        <f t="shared" si="2"/>
        <v>1</v>
      </c>
      <c r="K1007" s="7" t="str">
        <f>IFERROR(__xludf.DUMMYFUNCTION("regexreplace(G1007, ""_"", """")"),"hometherapyothertext")</f>
        <v>hometherapyothertext</v>
      </c>
      <c r="L1007" s="55" t="s">
        <v>3880</v>
      </c>
      <c r="M1007" s="55"/>
    </row>
    <row r="1008">
      <c r="A1008" s="55"/>
      <c r="B1008" s="54" t="s">
        <v>3779</v>
      </c>
      <c r="C1008" s="54" t="s">
        <v>3881</v>
      </c>
      <c r="D1008" s="54" t="s">
        <v>29</v>
      </c>
      <c r="E1008" s="55" t="s">
        <v>3882</v>
      </c>
      <c r="F1008" s="57">
        <f t="shared" si="44"/>
        <v>2</v>
      </c>
      <c r="G1008" s="54" t="s">
        <v>3883</v>
      </c>
      <c r="H1008" s="55"/>
      <c r="I1008" s="7" t="str">
        <f>IFERROR(__xludf.DUMMYFUNCTION("regexreplace(lower(C1008), ""_"", """")"),"deathdate")</f>
        <v>deathdate</v>
      </c>
      <c r="J1008" s="9" t="b">
        <f t="shared" si="2"/>
        <v>1</v>
      </c>
      <c r="K1008" s="7" t="str">
        <f>IFERROR(__xludf.DUMMYFUNCTION("regexreplace(G1008, ""_"", """")"),"deathdate")</f>
        <v>deathdate</v>
      </c>
      <c r="L1008" s="55" t="s">
        <v>3884</v>
      </c>
      <c r="M1008" s="55" t="s">
        <v>3885</v>
      </c>
    </row>
    <row r="1009">
      <c r="A1009" s="55"/>
      <c r="B1009" s="54" t="s">
        <v>3779</v>
      </c>
      <c r="C1009" s="54" t="s">
        <v>3886</v>
      </c>
      <c r="D1009" s="54" t="s">
        <v>148</v>
      </c>
      <c r="E1009" s="55" t="s">
        <v>3887</v>
      </c>
      <c r="F1009" s="57">
        <f t="shared" si="44"/>
        <v>2</v>
      </c>
      <c r="G1009" s="54" t="s">
        <v>3888</v>
      </c>
      <c r="H1009" s="55"/>
      <c r="I1009" s="7" t="str">
        <f>IFERROR(__xludf.DUMMYFUNCTION("regexreplace(lower(C1009), ""_"", """")"),"deathtime")</f>
        <v>deathtime</v>
      </c>
      <c r="J1009" s="9" t="b">
        <f t="shared" si="2"/>
        <v>1</v>
      </c>
      <c r="K1009" s="7" t="str">
        <f>IFERROR(__xludf.DUMMYFUNCTION("regexreplace(G1009, ""_"", """")"),"deathtime")</f>
        <v>deathtime</v>
      </c>
      <c r="L1009" s="55" t="s">
        <v>3889</v>
      </c>
      <c r="M1009" s="55" t="s">
        <v>3890</v>
      </c>
    </row>
    <row r="1010">
      <c r="A1010" s="55"/>
      <c r="B1010" s="54" t="s">
        <v>3779</v>
      </c>
      <c r="C1010" s="58" t="s">
        <v>3891</v>
      </c>
      <c r="D1010" s="54" t="s">
        <v>34</v>
      </c>
      <c r="E1010" s="59" t="s">
        <v>3892</v>
      </c>
      <c r="F1010" s="57">
        <f t="shared" si="44"/>
        <v>1</v>
      </c>
      <c r="G1010" s="56" t="s">
        <v>3893</v>
      </c>
      <c r="H1010" s="55"/>
      <c r="I1010" s="54" t="str">
        <f>IFERROR(__xludf.DUMMYFUNCTION("regexreplace(lower(C1010), ""_"", """")"),"deathageday")</f>
        <v>deathageday</v>
      </c>
      <c r="J1010" s="57" t="b">
        <f t="shared" si="2"/>
        <v>1</v>
      </c>
      <c r="K1010" s="54" t="str">
        <f>IFERROR(__xludf.DUMMYFUNCTION("regexreplace(G1010, ""_"", """")"),"deathageday")</f>
        <v>deathageday</v>
      </c>
      <c r="L1010" s="55"/>
      <c r="M1010" s="60" t="s">
        <v>3894</v>
      </c>
      <c r="N1010" s="61"/>
      <c r="O1010" s="61"/>
    </row>
    <row r="1011">
      <c r="A1011" s="55"/>
      <c r="B1011" s="54" t="s">
        <v>3779</v>
      </c>
      <c r="C1011" s="54" t="s">
        <v>3895</v>
      </c>
      <c r="D1011" s="54" t="s">
        <v>43</v>
      </c>
      <c r="E1011" s="55" t="s">
        <v>3896</v>
      </c>
      <c r="F1011" s="57">
        <f t="shared" si="44"/>
        <v>2</v>
      </c>
      <c r="G1011" s="54" t="s">
        <v>3897</v>
      </c>
      <c r="H1011" s="55"/>
      <c r="I1011" s="7" t="str">
        <f>IFERROR(__xludf.DUMMYFUNCTION("regexreplace(lower(C1011), ""_"", """")"),"deathautopsy")</f>
        <v>deathautopsy</v>
      </c>
      <c r="J1011" s="9" t="b">
        <f t="shared" si="2"/>
        <v>1</v>
      </c>
      <c r="K1011" s="7" t="str">
        <f>IFERROR(__xludf.DUMMYFUNCTION("regexreplace(G1011, ""_"", """")"),"deathautopsy")</f>
        <v>deathautopsy</v>
      </c>
      <c r="L1011" s="55" t="s">
        <v>3898</v>
      </c>
      <c r="M1011" s="55" t="s">
        <v>3899</v>
      </c>
    </row>
    <row r="1012">
      <c r="A1012" s="55"/>
      <c r="B1012" s="54" t="s">
        <v>3779</v>
      </c>
      <c r="C1012" s="54" t="s">
        <v>3900</v>
      </c>
      <c r="D1012" s="54" t="s">
        <v>3900</v>
      </c>
      <c r="E1012" s="55" t="s">
        <v>3901</v>
      </c>
      <c r="F1012" s="57">
        <f t="shared" si="44"/>
        <v>2</v>
      </c>
      <c r="G1012" s="54" t="s">
        <v>3902</v>
      </c>
      <c r="H1012" s="55"/>
      <c r="I1012" s="7" t="str">
        <f>IFERROR(__xludf.DUMMYFUNCTION("regexreplace(lower(C1012), ""_"", """")"),"deathcause")</f>
        <v>deathcause</v>
      </c>
      <c r="J1012" s="9" t="b">
        <f t="shared" si="2"/>
        <v>1</v>
      </c>
      <c r="K1012" s="7" t="str">
        <f>IFERROR(__xludf.DUMMYFUNCTION("regexreplace(G1012, ""_"", """")"),"deathcause")</f>
        <v>deathcause</v>
      </c>
      <c r="L1012" s="55" t="s">
        <v>3903</v>
      </c>
      <c r="M1012" s="55" t="s">
        <v>3904</v>
      </c>
    </row>
    <row r="1013">
      <c r="A1013" s="55"/>
      <c r="B1013" s="54" t="s">
        <v>3779</v>
      </c>
      <c r="C1013" s="54" t="s">
        <v>3905</v>
      </c>
      <c r="D1013" s="54" t="s">
        <v>19</v>
      </c>
      <c r="E1013" s="55" t="s">
        <v>3906</v>
      </c>
      <c r="F1013" s="57">
        <f t="shared" si="44"/>
        <v>2</v>
      </c>
      <c r="G1013" s="54" t="s">
        <v>3907</v>
      </c>
      <c r="H1013" s="55"/>
      <c r="I1013" s="7" t="str">
        <f>IFERROR(__xludf.DUMMYFUNCTION("regexreplace(lower(C1013), ""_"", """")"),"deathcausetext")</f>
        <v>deathcausetext</v>
      </c>
      <c r="J1013" s="9" t="b">
        <f t="shared" si="2"/>
        <v>1</v>
      </c>
      <c r="K1013" s="7" t="str">
        <f>IFERROR(__xludf.DUMMYFUNCTION("regexreplace(G1013, ""_"", """")"),"deathcausetext")</f>
        <v>deathcausetext</v>
      </c>
      <c r="L1013" s="55" t="s">
        <v>3908</v>
      </c>
      <c r="M1013" s="55" t="s">
        <v>3909</v>
      </c>
    </row>
    <row r="1014">
      <c r="A1014" s="55"/>
      <c r="B1014" s="54" t="s">
        <v>3779</v>
      </c>
      <c r="C1014" s="54" t="s">
        <v>3910</v>
      </c>
      <c r="D1014" s="54" t="s">
        <v>3910</v>
      </c>
      <c r="E1014" s="55" t="s">
        <v>3911</v>
      </c>
      <c r="F1014" s="57">
        <f t="shared" si="44"/>
        <v>2</v>
      </c>
      <c r="G1014" s="54" t="s">
        <v>3912</v>
      </c>
      <c r="H1014" s="55"/>
      <c r="I1014" s="7" t="str">
        <f>IFERROR(__xludf.DUMMYFUNCTION("regexreplace(lower(C1014), ""_"", """")"),"deathsrc")</f>
        <v>deathsrc</v>
      </c>
      <c r="J1014" s="9" t="b">
        <f t="shared" si="2"/>
        <v>1</v>
      </c>
      <c r="K1014" s="7" t="str">
        <f>IFERROR(__xludf.DUMMYFUNCTION("regexreplace(G1014, ""_"", """")"),"deathsrc")</f>
        <v>deathsrc</v>
      </c>
      <c r="L1014" s="55" t="s">
        <v>3913</v>
      </c>
      <c r="M1014" s="55" t="s">
        <v>3914</v>
      </c>
    </row>
    <row r="1015">
      <c r="A1015" s="55"/>
      <c r="B1015" s="54" t="s">
        <v>3779</v>
      </c>
      <c r="C1015" s="54" t="s">
        <v>3915</v>
      </c>
      <c r="D1015" s="56" t="s">
        <v>34</v>
      </c>
      <c r="E1015" s="55" t="s">
        <v>3916</v>
      </c>
      <c r="F1015" s="57">
        <f t="shared" si="44"/>
        <v>0</v>
      </c>
      <c r="G1015" s="56" t="s">
        <v>3917</v>
      </c>
      <c r="H1015" s="54" t="s">
        <v>3918</v>
      </c>
      <c r="I1015" s="7" t="str">
        <f>IFERROR(__xludf.DUMMYFUNCTION("regexreplace(lower(C1015), ""_"", """")"),"lengthofstayday")</f>
        <v>lengthofstayday</v>
      </c>
      <c r="J1015" s="9" t="b">
        <f t="shared" si="2"/>
        <v>1</v>
      </c>
      <c r="K1015" s="7" t="str">
        <f>IFERROR(__xludf.DUMMYFUNCTION("regexreplace(G1015, ""_"", """")"),"lengthofstayday")</f>
        <v>lengthofstayday</v>
      </c>
      <c r="L1015" s="55"/>
      <c r="M1015" s="55"/>
    </row>
    <row r="1016">
      <c r="A1016" s="12"/>
      <c r="B1016" s="12"/>
      <c r="C1016" s="13"/>
      <c r="D1016" s="12"/>
      <c r="E1016" s="12"/>
      <c r="F1016" s="12"/>
      <c r="G1016" s="12"/>
      <c r="H1016" s="12"/>
      <c r="I1016" s="7" t="str">
        <f>IFERROR(__xludf.DUMMYFUNCTION("regexreplace(lower(C1016), ""_"", """")"),"")</f>
        <v/>
      </c>
      <c r="J1016" s="9" t="str">
        <f t="shared" si="2"/>
        <v/>
      </c>
      <c r="K1016" s="7" t="str">
        <f>IFERROR(__xludf.DUMMYFUNCTION("regexreplace(G1016, ""_"", """")"),"")</f>
        <v/>
      </c>
      <c r="L1016" s="12"/>
      <c r="M1016" s="12"/>
    </row>
    <row r="1017">
      <c r="A1017" s="54" t="s">
        <v>3778</v>
      </c>
      <c r="B1017" s="54" t="s">
        <v>853</v>
      </c>
      <c r="C1017" s="54" t="s">
        <v>3919</v>
      </c>
      <c r="D1017" s="54" t="s">
        <v>43</v>
      </c>
      <c r="E1017" s="55" t="s">
        <v>3920</v>
      </c>
      <c r="F1017" s="57">
        <f t="shared" ref="F1017:F1023" si="45">counta(L1017:M1017)</f>
        <v>2</v>
      </c>
      <c r="G1017" s="54" t="s">
        <v>3921</v>
      </c>
      <c r="H1017" s="55"/>
      <c r="I1017" s="7" t="str">
        <f>IFERROR(__xludf.DUMMYFUNCTION("regexreplace(lower(C1017), ""_"", """")"),"dischargecardiomegaly")</f>
        <v>dischargecardiomegaly</v>
      </c>
      <c r="J1017" s="9" t="b">
        <f t="shared" si="2"/>
        <v>1</v>
      </c>
      <c r="K1017" s="7" t="str">
        <f>IFERROR(__xludf.DUMMYFUNCTION("regexreplace(G1017, ""_"", """")"),"dischargecardiomegaly")</f>
        <v>dischargecardiomegaly</v>
      </c>
      <c r="L1017" s="55" t="s">
        <v>3922</v>
      </c>
      <c r="M1017" s="55" t="s">
        <v>3923</v>
      </c>
    </row>
    <row r="1018">
      <c r="A1018" s="55"/>
      <c r="B1018" s="54" t="s">
        <v>853</v>
      </c>
      <c r="C1018" s="54" t="s">
        <v>3924</v>
      </c>
      <c r="D1018" s="54" t="s">
        <v>43</v>
      </c>
      <c r="E1018" s="55" t="s">
        <v>3925</v>
      </c>
      <c r="F1018" s="57">
        <f t="shared" si="45"/>
        <v>2</v>
      </c>
      <c r="G1018" s="54" t="s">
        <v>3926</v>
      </c>
      <c r="H1018" s="55"/>
      <c r="I1018" s="7" t="str">
        <f>IFERROR(__xludf.DUMMYFUNCTION("regexreplace(lower(C1018), ""_"", """")"),"dischargecardiacfailure")</f>
        <v>dischargecardiacfailure</v>
      </c>
      <c r="J1018" s="9" t="b">
        <f t="shared" si="2"/>
        <v>1</v>
      </c>
      <c r="K1018" s="7" t="str">
        <f>IFERROR(__xludf.DUMMYFUNCTION("regexreplace(G1018, ""_"", """")"),"dischargecardiacfailure")</f>
        <v>dischargecardiacfailure</v>
      </c>
      <c r="L1018" s="55" t="s">
        <v>3927</v>
      </c>
      <c r="M1018" s="55" t="s">
        <v>3928</v>
      </c>
    </row>
    <row r="1019">
      <c r="A1019" s="55"/>
      <c r="B1019" s="54" t="s">
        <v>853</v>
      </c>
      <c r="C1019" s="54" t="s">
        <v>3929</v>
      </c>
      <c r="D1019" s="54" t="s">
        <v>43</v>
      </c>
      <c r="E1019" s="55" t="s">
        <v>3930</v>
      </c>
      <c r="F1019" s="57">
        <f t="shared" si="45"/>
        <v>2</v>
      </c>
      <c r="G1019" s="54" t="s">
        <v>3931</v>
      </c>
      <c r="H1019" s="55"/>
      <c r="I1019" s="7" t="str">
        <f>IFERROR(__xludf.DUMMYFUNCTION("regexreplace(lower(C1019), ""_"", """")"),"dischargecardiacdysfunctionbyecho")</f>
        <v>dischargecardiacdysfunctionbyecho</v>
      </c>
      <c r="J1019" s="9" t="b">
        <f t="shared" si="2"/>
        <v>1</v>
      </c>
      <c r="K1019" s="7" t="str">
        <f>IFERROR(__xludf.DUMMYFUNCTION("regexreplace(G1019, ""_"", """")"),"dischargecardiacdysfunctionbyecho")</f>
        <v>dischargecardiacdysfunctionbyecho</v>
      </c>
      <c r="L1019" s="55" t="s">
        <v>3932</v>
      </c>
      <c r="M1019" s="55" t="s">
        <v>3933</v>
      </c>
    </row>
    <row r="1020">
      <c r="A1020" s="55"/>
      <c r="B1020" s="54" t="s">
        <v>853</v>
      </c>
      <c r="C1020" s="62" t="s">
        <v>3934</v>
      </c>
      <c r="D1020" s="62" t="s">
        <v>43</v>
      </c>
      <c r="E1020" s="55" t="s">
        <v>3935</v>
      </c>
      <c r="F1020" s="57">
        <f t="shared" si="45"/>
        <v>2</v>
      </c>
      <c r="G1020" s="54" t="s">
        <v>3936</v>
      </c>
      <c r="H1020" s="55"/>
      <c r="I1020" s="7" t="str">
        <f>IFERROR(__xludf.DUMMYFUNCTION("regexreplace(lower(C1020), ""_"", """")"),"dischargecardiacischemiabyekg")</f>
        <v>dischargecardiacischemiabyekg</v>
      </c>
      <c r="J1020" s="9" t="b">
        <f t="shared" si="2"/>
        <v>1</v>
      </c>
      <c r="K1020" s="7" t="str">
        <f>IFERROR(__xludf.DUMMYFUNCTION("regexreplace(G1020, ""_"", """")"),"dischargecardiacischemiabyekg")</f>
        <v>dischargecardiacischemiabyekg</v>
      </c>
      <c r="L1020" s="55" t="s">
        <v>3937</v>
      </c>
      <c r="M1020" s="55" t="s">
        <v>3938</v>
      </c>
    </row>
    <row r="1021">
      <c r="A1021" s="55"/>
      <c r="B1021" s="54" t="s">
        <v>853</v>
      </c>
      <c r="C1021" s="54" t="s">
        <v>3939</v>
      </c>
      <c r="D1021" s="54" t="s">
        <v>43</v>
      </c>
      <c r="E1021" s="55" t="s">
        <v>3940</v>
      </c>
      <c r="F1021" s="57">
        <f t="shared" si="45"/>
        <v>2</v>
      </c>
      <c r="G1021" s="54" t="s">
        <v>3941</v>
      </c>
      <c r="H1021" s="55"/>
      <c r="I1021" s="7" t="str">
        <f>IFERROR(__xludf.DUMMYFUNCTION("regexreplace(lower(C1021), ""_"", """")"),"dischargehypotension")</f>
        <v>dischargehypotension</v>
      </c>
      <c r="J1021" s="9" t="b">
        <f t="shared" si="2"/>
        <v>1</v>
      </c>
      <c r="K1021" s="7" t="str">
        <f>IFERROR(__xludf.DUMMYFUNCTION("regexreplace(G1021, ""_"", """")"),"dischargehypotension")</f>
        <v>dischargehypotension</v>
      </c>
      <c r="L1021" s="55" t="s">
        <v>3942</v>
      </c>
      <c r="M1021" s="55" t="s">
        <v>3943</v>
      </c>
    </row>
    <row r="1022">
      <c r="A1022" s="55"/>
      <c r="B1022" s="54" t="s">
        <v>853</v>
      </c>
      <c r="C1022" s="54" t="s">
        <v>3944</v>
      </c>
      <c r="D1022" s="54" t="s">
        <v>43</v>
      </c>
      <c r="E1022" s="55" t="s">
        <v>3945</v>
      </c>
      <c r="F1022" s="57">
        <f t="shared" si="45"/>
        <v>2</v>
      </c>
      <c r="G1022" s="54" t="s">
        <v>3946</v>
      </c>
      <c r="H1022" s="55"/>
      <c r="I1022" s="7" t="str">
        <f>IFERROR(__xludf.DUMMYFUNCTION("regexreplace(lower(C1022), ""_"", """")"),"dischargearrhythmia")</f>
        <v>dischargearrhythmia</v>
      </c>
      <c r="J1022" s="9" t="b">
        <f t="shared" si="2"/>
        <v>1</v>
      </c>
      <c r="K1022" s="7" t="str">
        <f>IFERROR(__xludf.DUMMYFUNCTION("regexreplace(G1022, ""_"", """")"),"dischargearrhythmia")</f>
        <v>dischargearrhythmia</v>
      </c>
      <c r="L1022" s="55" t="s">
        <v>3947</v>
      </c>
      <c r="M1022" s="55" t="s">
        <v>3948</v>
      </c>
    </row>
    <row r="1023">
      <c r="A1023" s="55"/>
      <c r="B1023" s="54" t="s">
        <v>853</v>
      </c>
      <c r="C1023" s="56" t="s">
        <v>3949</v>
      </c>
      <c r="D1023" s="54" t="s">
        <v>43</v>
      </c>
      <c r="E1023" s="59" t="s">
        <v>3950</v>
      </c>
      <c r="F1023" s="57">
        <f t="shared" si="45"/>
        <v>1</v>
      </c>
      <c r="G1023" s="56" t="s">
        <v>3951</v>
      </c>
      <c r="H1023" s="55"/>
      <c r="I1023" s="54" t="str">
        <f>IFERROR(__xludf.DUMMYFUNCTION("regexreplace(lower(C1023), ""_"", """")"),"dischargeinotropicagent")</f>
        <v>dischargeinotropicagent</v>
      </c>
      <c r="J1023" s="57" t="b">
        <f t="shared" si="2"/>
        <v>1</v>
      </c>
      <c r="K1023" s="54" t="str">
        <f>IFERROR(__xludf.DUMMYFUNCTION("regexreplace(G1023, ""_"", """")"),"dischargeinotropicagent")</f>
        <v>dischargeinotropicagent</v>
      </c>
      <c r="L1023" s="55"/>
      <c r="M1023" s="60" t="s">
        <v>3952</v>
      </c>
      <c r="N1023" s="61"/>
      <c r="O1023" s="61"/>
    </row>
    <row r="1024">
      <c r="A1024" s="12"/>
      <c r="B1024" s="12"/>
      <c r="C1024" s="13"/>
      <c r="D1024" s="12"/>
      <c r="E1024" s="12"/>
      <c r="F1024" s="12"/>
      <c r="G1024" s="12" t="s">
        <v>913</v>
      </c>
      <c r="H1024" s="12"/>
      <c r="I1024" s="7" t="str">
        <f>IFERROR(__xludf.DUMMYFUNCTION("regexreplace(lower(C1024), ""_"", """")"),"")</f>
        <v/>
      </c>
      <c r="J1024" s="9" t="str">
        <f t="shared" si="2"/>
        <v/>
      </c>
      <c r="K1024" s="7" t="str">
        <f>IFERROR(__xludf.DUMMYFUNCTION("regexreplace(G1024, ""_"", """")"),"")</f>
        <v/>
      </c>
      <c r="L1024" s="12"/>
      <c r="M1024" s="12"/>
    </row>
    <row r="1025">
      <c r="A1025" s="54" t="s">
        <v>3778</v>
      </c>
      <c r="B1025" s="54" t="s">
        <v>886</v>
      </c>
      <c r="C1025" s="54" t="s">
        <v>3953</v>
      </c>
      <c r="D1025" s="54" t="s">
        <v>43</v>
      </c>
      <c r="E1025" s="55" t="s">
        <v>3954</v>
      </c>
      <c r="F1025" s="57">
        <f t="shared" ref="F1025:F1030" si="46">counta(L1025:M1025)</f>
        <v>2</v>
      </c>
      <c r="G1025" s="54" t="s">
        <v>3955</v>
      </c>
      <c r="H1025" s="55"/>
      <c r="I1025" s="7" t="str">
        <f>IFERROR(__xludf.DUMMYFUNCTION("regexreplace(lower(C1025), ""_"", """")"),"dischargemeconiumaspirationsyndrome")</f>
        <v>dischargemeconiumaspirationsyndrome</v>
      </c>
      <c r="J1025" s="9" t="b">
        <f t="shared" si="2"/>
        <v>1</v>
      </c>
      <c r="K1025" s="7" t="str">
        <f>IFERROR(__xludf.DUMMYFUNCTION("regexreplace(G1025, ""_"", """")"),"dischargemeconiumaspirationsyndrome")</f>
        <v>dischargemeconiumaspirationsyndrome</v>
      </c>
      <c r="L1025" s="55" t="s">
        <v>3956</v>
      </c>
      <c r="M1025" s="55" t="s">
        <v>3957</v>
      </c>
    </row>
    <row r="1026">
      <c r="A1026" s="55"/>
      <c r="B1026" s="54" t="s">
        <v>886</v>
      </c>
      <c r="C1026" s="54" t="s">
        <v>3958</v>
      </c>
      <c r="D1026" s="54" t="s">
        <v>43</v>
      </c>
      <c r="E1026" s="55" t="s">
        <v>3959</v>
      </c>
      <c r="F1026" s="57">
        <f t="shared" si="46"/>
        <v>2</v>
      </c>
      <c r="G1026" s="54" t="s">
        <v>3960</v>
      </c>
      <c r="H1026" s="55"/>
      <c r="I1026" s="7" t="str">
        <f>IFERROR(__xludf.DUMMYFUNCTION("regexreplace(lower(C1026), ""_"", """")"),"dischargepphn")</f>
        <v>dischargepphn</v>
      </c>
      <c r="J1026" s="9" t="b">
        <f t="shared" si="2"/>
        <v>1</v>
      </c>
      <c r="K1026" s="7" t="str">
        <f>IFERROR(__xludf.DUMMYFUNCTION("regexreplace(G1026, ""_"", """")"),"dischargepphn")</f>
        <v>dischargepphn</v>
      </c>
      <c r="L1026" s="55" t="s">
        <v>3961</v>
      </c>
      <c r="M1026" s="55" t="s">
        <v>3962</v>
      </c>
    </row>
    <row r="1027">
      <c r="A1027" s="55"/>
      <c r="B1027" s="54" t="s">
        <v>886</v>
      </c>
      <c r="C1027" s="54" t="s">
        <v>3963</v>
      </c>
      <c r="D1027" s="54" t="s">
        <v>43</v>
      </c>
      <c r="E1027" s="55" t="s">
        <v>3964</v>
      </c>
      <c r="F1027" s="57">
        <f t="shared" si="46"/>
        <v>2</v>
      </c>
      <c r="G1027" s="54" t="s">
        <v>3965</v>
      </c>
      <c r="H1027" s="55"/>
      <c r="I1027" s="7" t="str">
        <f>IFERROR(__xludf.DUMMYFUNCTION("regexreplace(lower(C1027), ""_"", """")"),"dischargepulmonaryhemorrhage")</f>
        <v>dischargepulmonaryhemorrhage</v>
      </c>
      <c r="J1027" s="9" t="b">
        <f t="shared" si="2"/>
        <v>1</v>
      </c>
      <c r="K1027" s="7" t="str">
        <f>IFERROR(__xludf.DUMMYFUNCTION("regexreplace(G1027, ""_"", """")"),"dischargepulmonaryhemorrhage")</f>
        <v>dischargepulmonaryhemorrhage</v>
      </c>
      <c r="L1027" s="55" t="s">
        <v>3966</v>
      </c>
      <c r="M1027" s="55" t="s">
        <v>3967</v>
      </c>
    </row>
    <row r="1028">
      <c r="A1028" s="55"/>
      <c r="B1028" s="54" t="s">
        <v>886</v>
      </c>
      <c r="C1028" s="54" t="s">
        <v>3968</v>
      </c>
      <c r="D1028" s="54" t="s">
        <v>43</v>
      </c>
      <c r="E1028" s="55" t="s">
        <v>3969</v>
      </c>
      <c r="F1028" s="57">
        <f t="shared" si="46"/>
        <v>2</v>
      </c>
      <c r="G1028" s="54" t="s">
        <v>3970</v>
      </c>
      <c r="H1028" s="55"/>
      <c r="I1028" s="7" t="str">
        <f>IFERROR(__xludf.DUMMYFUNCTION("regexreplace(lower(C1028), ""_"", """")"),"dischargepenumonia")</f>
        <v>dischargepenumonia</v>
      </c>
      <c r="J1028" s="9" t="b">
        <f t="shared" si="2"/>
        <v>1</v>
      </c>
      <c r="K1028" s="7" t="str">
        <f>IFERROR(__xludf.DUMMYFUNCTION("regexreplace(G1028, ""_"", """")"),"dischargepenumonia")</f>
        <v>dischargepenumonia</v>
      </c>
      <c r="L1028" s="55" t="s">
        <v>3971</v>
      </c>
      <c r="M1028" s="55" t="s">
        <v>3972</v>
      </c>
    </row>
    <row r="1029">
      <c r="A1029" s="55"/>
      <c r="B1029" s="54" t="s">
        <v>886</v>
      </c>
      <c r="C1029" s="54" t="s">
        <v>3973</v>
      </c>
      <c r="D1029" s="54" t="s">
        <v>43</v>
      </c>
      <c r="E1029" s="55" t="s">
        <v>3974</v>
      </c>
      <c r="F1029" s="57">
        <f t="shared" si="46"/>
        <v>2</v>
      </c>
      <c r="G1029" s="54" t="s">
        <v>3975</v>
      </c>
      <c r="H1029" s="55"/>
      <c r="I1029" s="7" t="str">
        <f>IFERROR(__xludf.DUMMYFUNCTION("regexreplace(lower(C1029), ""_"", """")"),"dischargechroniclungdisease")</f>
        <v>dischargechroniclungdisease</v>
      </c>
      <c r="J1029" s="9" t="b">
        <f t="shared" si="2"/>
        <v>1</v>
      </c>
      <c r="K1029" s="7" t="str">
        <f>IFERROR(__xludf.DUMMYFUNCTION("regexreplace(G1029, ""_"", """")"),"dischargechroniclungdisease")</f>
        <v>dischargechroniclungdisease</v>
      </c>
      <c r="L1029" s="55" t="s">
        <v>3976</v>
      </c>
      <c r="M1029" s="55" t="s">
        <v>3977</v>
      </c>
    </row>
    <row r="1030">
      <c r="A1030" s="55"/>
      <c r="B1030" s="54" t="s">
        <v>886</v>
      </c>
      <c r="C1030" s="54" t="s">
        <v>3978</v>
      </c>
      <c r="D1030" s="54" t="s">
        <v>43</v>
      </c>
      <c r="E1030" s="55" t="s">
        <v>3979</v>
      </c>
      <c r="F1030" s="57">
        <f t="shared" si="46"/>
        <v>2</v>
      </c>
      <c r="G1030" s="54" t="s">
        <v>3980</v>
      </c>
      <c r="H1030" s="55"/>
      <c r="I1030" s="7" t="str">
        <f>IFERROR(__xludf.DUMMYFUNCTION("regexreplace(lower(C1030), ""_"", """")"),"dischargeecmo")</f>
        <v>dischargeecmo</v>
      </c>
      <c r="J1030" s="9" t="b">
        <f t="shared" si="2"/>
        <v>1</v>
      </c>
      <c r="K1030" s="7" t="str">
        <f>IFERROR(__xludf.DUMMYFUNCTION("regexreplace(G1030, ""_"", """")"),"dischargeecmo")</f>
        <v>dischargeecmo</v>
      </c>
      <c r="L1030" s="55" t="s">
        <v>3981</v>
      </c>
      <c r="M1030" s="55" t="s">
        <v>3982</v>
      </c>
    </row>
    <row r="1031">
      <c r="A1031" s="55"/>
      <c r="B1031" s="55"/>
      <c r="C1031" s="54"/>
      <c r="D1031" s="55"/>
      <c r="E1031" s="55"/>
      <c r="F1031" s="55"/>
      <c r="G1031" s="55"/>
      <c r="H1031" s="55"/>
      <c r="I1031" s="7" t="str">
        <f>IFERROR(__xludf.DUMMYFUNCTION("regexreplace(lower(C1031), ""_"", """")"),"")</f>
        <v/>
      </c>
      <c r="J1031" s="9" t="str">
        <f t="shared" si="2"/>
        <v/>
      </c>
      <c r="K1031" s="7" t="str">
        <f>IFERROR(__xludf.DUMMYFUNCTION("regexreplace(G1031, ""_"", """")"),"")</f>
        <v/>
      </c>
      <c r="L1031" s="55"/>
      <c r="M1031" s="55"/>
    </row>
    <row r="1032">
      <c r="A1032" s="55"/>
      <c r="B1032" s="54" t="s">
        <v>886</v>
      </c>
      <c r="C1032" s="54" t="s">
        <v>3983</v>
      </c>
      <c r="D1032" s="54" t="s">
        <v>43</v>
      </c>
      <c r="E1032" s="55" t="s">
        <v>3984</v>
      </c>
      <c r="F1032" s="57">
        <f t="shared" ref="F1032:F1051" si="47">counta(L1032:M1032)</f>
        <v>2</v>
      </c>
      <c r="G1032" s="54" t="s">
        <v>3985</v>
      </c>
      <c r="H1032" s="55"/>
      <c r="I1032" s="7" t="str">
        <f>IFERROR(__xludf.DUMMYFUNCTION("regexreplace(lower(C1032), ""_"", """")"),"dischargeino")</f>
        <v>dischargeino</v>
      </c>
      <c r="J1032" s="9" t="b">
        <f t="shared" si="2"/>
        <v>1</v>
      </c>
      <c r="K1032" s="7" t="str">
        <f>IFERROR(__xludf.DUMMYFUNCTION("regexreplace(G1032, ""_"", """")"),"dischargeino")</f>
        <v>dischargeino</v>
      </c>
      <c r="L1032" s="55" t="s">
        <v>3986</v>
      </c>
      <c r="M1032" s="55" t="s">
        <v>3987</v>
      </c>
    </row>
    <row r="1033">
      <c r="A1033" s="55"/>
      <c r="B1033" s="54" t="s">
        <v>886</v>
      </c>
      <c r="C1033" s="54" t="s">
        <v>3988</v>
      </c>
      <c r="D1033" s="54" t="s">
        <v>34</v>
      </c>
      <c r="E1033" s="55" t="s">
        <v>3989</v>
      </c>
      <c r="F1033" s="57">
        <f t="shared" si="47"/>
        <v>2</v>
      </c>
      <c r="G1033" s="54" t="s">
        <v>3990</v>
      </c>
      <c r="H1033" s="55"/>
      <c r="I1033" s="7" t="str">
        <f>IFERROR(__xludf.DUMMYFUNCTION("regexreplace(lower(C1033), ""_"", """")"),"dischargeventilatorday")</f>
        <v>dischargeventilatorday</v>
      </c>
      <c r="J1033" s="9" t="b">
        <f t="shared" si="2"/>
        <v>1</v>
      </c>
      <c r="K1033" s="7" t="str">
        <f>IFERROR(__xludf.DUMMYFUNCTION("regexreplace(G1033, ""_"", """")"),"dischargeventilatorday")</f>
        <v>dischargeventilatorday</v>
      </c>
      <c r="L1033" s="55" t="s">
        <v>3991</v>
      </c>
      <c r="M1033" s="55" t="s">
        <v>3992</v>
      </c>
    </row>
    <row r="1034">
      <c r="A1034" s="55"/>
      <c r="B1034" s="54" t="s">
        <v>886</v>
      </c>
      <c r="C1034" s="54" t="s">
        <v>3993</v>
      </c>
      <c r="D1034" s="54" t="s">
        <v>34</v>
      </c>
      <c r="E1034" s="55" t="s">
        <v>3994</v>
      </c>
      <c r="F1034" s="57">
        <f t="shared" si="47"/>
        <v>2</v>
      </c>
      <c r="G1034" s="54" t="s">
        <v>3995</v>
      </c>
      <c r="H1034" s="55"/>
      <c r="I1034" s="7" t="str">
        <f>IFERROR(__xludf.DUMMYFUNCTION("regexreplace(lower(C1034), ""_"", """")"),"dischargeoxygenday")</f>
        <v>dischargeoxygenday</v>
      </c>
      <c r="J1034" s="9" t="b">
        <f t="shared" si="2"/>
        <v>1</v>
      </c>
      <c r="K1034" s="7" t="str">
        <f>IFERROR(__xludf.DUMMYFUNCTION("regexreplace(G1034, ""_"", """")"),"dischargeoxygenday")</f>
        <v>dischargeoxygenday</v>
      </c>
      <c r="L1034" s="55" t="s">
        <v>3996</v>
      </c>
      <c r="M1034" s="55" t="s">
        <v>3997</v>
      </c>
    </row>
    <row r="1035">
      <c r="A1035" s="55"/>
      <c r="B1035" s="54" t="s">
        <v>886</v>
      </c>
      <c r="C1035" s="54" t="s">
        <v>3998</v>
      </c>
      <c r="D1035" s="54" t="s">
        <v>34</v>
      </c>
      <c r="E1035" s="55" t="s">
        <v>3999</v>
      </c>
      <c r="F1035" s="57">
        <f t="shared" si="47"/>
        <v>2</v>
      </c>
      <c r="G1035" s="54" t="s">
        <v>4000</v>
      </c>
      <c r="H1035" s="55"/>
      <c r="I1035" s="7" t="str">
        <f>IFERROR(__xludf.DUMMYFUNCTION("regexreplace(lower(C1035), ""_"", """")"),"dischargecpapday")</f>
        <v>dischargecpapday</v>
      </c>
      <c r="J1035" s="9" t="b">
        <f t="shared" si="2"/>
        <v>1</v>
      </c>
      <c r="K1035" s="7" t="str">
        <f>IFERROR(__xludf.DUMMYFUNCTION("regexreplace(G1035, ""_"", """")"),"dischargecpapday")</f>
        <v>dischargecpapday</v>
      </c>
      <c r="L1035" s="55" t="s">
        <v>4001</v>
      </c>
      <c r="M1035" s="55" t="s">
        <v>4002</v>
      </c>
    </row>
    <row r="1036">
      <c r="A1036" s="55"/>
      <c r="B1036" s="54" t="s">
        <v>886</v>
      </c>
      <c r="C1036" s="54" t="s">
        <v>4003</v>
      </c>
      <c r="D1036" s="54" t="s">
        <v>29</v>
      </c>
      <c r="E1036" s="55" t="s">
        <v>4004</v>
      </c>
      <c r="F1036" s="57">
        <f t="shared" si="47"/>
        <v>1</v>
      </c>
      <c r="G1036" s="54" t="s">
        <v>4005</v>
      </c>
      <c r="H1036" s="55"/>
      <c r="I1036" s="7" t="str">
        <f>IFERROR(__xludf.DUMMYFUNCTION("regexreplace(lower(C1036), ""_"", """")"),"dischargepulmonarystartdate1")</f>
        <v>dischargepulmonarystartdate1</v>
      </c>
      <c r="J1036" s="9" t="b">
        <f t="shared" si="2"/>
        <v>1</v>
      </c>
      <c r="K1036" s="7" t="str">
        <f>IFERROR(__xludf.DUMMYFUNCTION("regexreplace(G1036, ""_"", """")"),"dischargepulmonarystartdate1")</f>
        <v>dischargepulmonarystartdate1</v>
      </c>
      <c r="L1036" s="55" t="s">
        <v>4006</v>
      </c>
      <c r="M1036" s="55"/>
    </row>
    <row r="1037">
      <c r="A1037" s="55"/>
      <c r="B1037" s="54" t="s">
        <v>886</v>
      </c>
      <c r="C1037" s="54" t="s">
        <v>4007</v>
      </c>
      <c r="D1037" s="54" t="s">
        <v>148</v>
      </c>
      <c r="E1037" s="55" t="s">
        <v>4008</v>
      </c>
      <c r="F1037" s="57">
        <f t="shared" si="47"/>
        <v>1</v>
      </c>
      <c r="G1037" s="54" t="s">
        <v>4009</v>
      </c>
      <c r="H1037" s="55"/>
      <c r="I1037" s="7" t="str">
        <f>IFERROR(__xludf.DUMMYFUNCTION("regexreplace(lower(C1037), ""_"", """")"),"dischargepulmonarystarttime1")</f>
        <v>dischargepulmonarystarttime1</v>
      </c>
      <c r="J1037" s="9" t="b">
        <f t="shared" si="2"/>
        <v>1</v>
      </c>
      <c r="K1037" s="7" t="str">
        <f>IFERROR(__xludf.DUMMYFUNCTION("regexreplace(G1037, ""_"", """")"),"dischargepulmonarystarttime1")</f>
        <v>dischargepulmonarystarttime1</v>
      </c>
      <c r="L1037" s="55" t="s">
        <v>4010</v>
      </c>
      <c r="M1037" s="55"/>
    </row>
    <row r="1038">
      <c r="A1038" s="55"/>
      <c r="B1038" s="54" t="s">
        <v>886</v>
      </c>
      <c r="C1038" s="54" t="s">
        <v>4011</v>
      </c>
      <c r="D1038" s="54" t="s">
        <v>29</v>
      </c>
      <c r="E1038" s="55" t="s">
        <v>4012</v>
      </c>
      <c r="F1038" s="57">
        <f t="shared" si="47"/>
        <v>1</v>
      </c>
      <c r="G1038" s="54" t="s">
        <v>4013</v>
      </c>
      <c r="H1038" s="55"/>
      <c r="I1038" s="7" t="str">
        <f>IFERROR(__xludf.DUMMYFUNCTION("regexreplace(lower(C1038), ""_"", """")"),"dischargepulmonaryenddate1")</f>
        <v>dischargepulmonaryenddate1</v>
      </c>
      <c r="J1038" s="9" t="b">
        <f t="shared" si="2"/>
        <v>1</v>
      </c>
      <c r="K1038" s="7" t="str">
        <f>IFERROR(__xludf.DUMMYFUNCTION("regexreplace(G1038, ""_"", """")"),"dischargepulmonaryenddate1")</f>
        <v>dischargepulmonaryenddate1</v>
      </c>
      <c r="L1038" s="55" t="s">
        <v>4014</v>
      </c>
      <c r="M1038" s="55"/>
    </row>
    <row r="1039">
      <c r="A1039" s="55"/>
      <c r="B1039" s="54" t="s">
        <v>886</v>
      </c>
      <c r="C1039" s="54" t="s">
        <v>4015</v>
      </c>
      <c r="D1039" s="54" t="s">
        <v>148</v>
      </c>
      <c r="E1039" s="55" t="s">
        <v>4016</v>
      </c>
      <c r="F1039" s="57">
        <f t="shared" si="47"/>
        <v>1</v>
      </c>
      <c r="G1039" s="54" t="s">
        <v>4017</v>
      </c>
      <c r="H1039" s="55"/>
      <c r="I1039" s="7" t="str">
        <f>IFERROR(__xludf.DUMMYFUNCTION("regexreplace(lower(C1039), ""_"", """")"),"dischargepulmonaryendtime1")</f>
        <v>dischargepulmonaryendtime1</v>
      </c>
      <c r="J1039" s="9" t="b">
        <f t="shared" si="2"/>
        <v>1</v>
      </c>
      <c r="K1039" s="7" t="str">
        <f>IFERROR(__xludf.DUMMYFUNCTION("regexreplace(G1039, ""_"", """")"),"dischargepulmonaryendtime1")</f>
        <v>dischargepulmonaryendtime1</v>
      </c>
      <c r="L1039" s="55" t="s">
        <v>4018</v>
      </c>
      <c r="M1039" s="55"/>
    </row>
    <row r="1040">
      <c r="A1040" s="55"/>
      <c r="B1040" s="54" t="s">
        <v>886</v>
      </c>
      <c r="C1040" s="54" t="s">
        <v>4019</v>
      </c>
      <c r="D1040" s="54" t="s">
        <v>29</v>
      </c>
      <c r="E1040" s="55" t="s">
        <v>4020</v>
      </c>
      <c r="F1040" s="57">
        <f t="shared" si="47"/>
        <v>1</v>
      </c>
      <c r="G1040" s="54" t="s">
        <v>4021</v>
      </c>
      <c r="H1040" s="55"/>
      <c r="I1040" s="7" t="str">
        <f>IFERROR(__xludf.DUMMYFUNCTION("regexreplace(lower(C1040), ""_"", """")"),"dischargepulmonarystartdate2")</f>
        <v>dischargepulmonarystartdate2</v>
      </c>
      <c r="J1040" s="9" t="b">
        <f t="shared" si="2"/>
        <v>1</v>
      </c>
      <c r="K1040" s="7" t="str">
        <f>IFERROR(__xludf.DUMMYFUNCTION("regexreplace(G1040, ""_"", """")"),"dischargepulmonarystartdate2")</f>
        <v>dischargepulmonarystartdate2</v>
      </c>
      <c r="L1040" s="55" t="s">
        <v>4022</v>
      </c>
      <c r="M1040" s="55"/>
    </row>
    <row r="1041">
      <c r="A1041" s="55"/>
      <c r="B1041" s="54" t="s">
        <v>886</v>
      </c>
      <c r="C1041" s="54" t="s">
        <v>4023</v>
      </c>
      <c r="D1041" s="54" t="s">
        <v>148</v>
      </c>
      <c r="E1041" s="55" t="s">
        <v>4024</v>
      </c>
      <c r="F1041" s="57">
        <f t="shared" si="47"/>
        <v>1</v>
      </c>
      <c r="G1041" s="54" t="s">
        <v>4025</v>
      </c>
      <c r="H1041" s="55"/>
      <c r="I1041" s="7" t="str">
        <f>IFERROR(__xludf.DUMMYFUNCTION("regexreplace(lower(C1041), ""_"", """")"),"dischargepulmonarystarttime2")</f>
        <v>dischargepulmonarystarttime2</v>
      </c>
      <c r="J1041" s="9" t="b">
        <f t="shared" si="2"/>
        <v>1</v>
      </c>
      <c r="K1041" s="7" t="str">
        <f>IFERROR(__xludf.DUMMYFUNCTION("regexreplace(G1041, ""_"", """")"),"dischargepulmonarystarttime2")</f>
        <v>dischargepulmonarystarttime2</v>
      </c>
      <c r="L1041" s="55" t="s">
        <v>4026</v>
      </c>
      <c r="M1041" s="55"/>
    </row>
    <row r="1042">
      <c r="A1042" s="55"/>
      <c r="B1042" s="54" t="s">
        <v>886</v>
      </c>
      <c r="C1042" s="54" t="s">
        <v>4027</v>
      </c>
      <c r="D1042" s="54" t="s">
        <v>29</v>
      </c>
      <c r="E1042" s="55" t="s">
        <v>4028</v>
      </c>
      <c r="F1042" s="57">
        <f t="shared" si="47"/>
        <v>1</v>
      </c>
      <c r="G1042" s="54" t="s">
        <v>4029</v>
      </c>
      <c r="H1042" s="55"/>
      <c r="I1042" s="7" t="str">
        <f>IFERROR(__xludf.DUMMYFUNCTION("regexreplace(lower(C1042), ""_"", """")"),"dischargepulmonaryenddate2")</f>
        <v>dischargepulmonaryenddate2</v>
      </c>
      <c r="J1042" s="9" t="b">
        <f t="shared" si="2"/>
        <v>1</v>
      </c>
      <c r="K1042" s="7" t="str">
        <f>IFERROR(__xludf.DUMMYFUNCTION("regexreplace(G1042, ""_"", """")"),"dischargepulmonaryenddate2")</f>
        <v>dischargepulmonaryenddate2</v>
      </c>
      <c r="L1042" s="55" t="s">
        <v>4030</v>
      </c>
      <c r="M1042" s="55"/>
    </row>
    <row r="1043">
      <c r="A1043" s="55"/>
      <c r="B1043" s="54" t="s">
        <v>886</v>
      </c>
      <c r="C1043" s="54" t="s">
        <v>4031</v>
      </c>
      <c r="D1043" s="54" t="s">
        <v>148</v>
      </c>
      <c r="E1043" s="55" t="s">
        <v>4032</v>
      </c>
      <c r="F1043" s="57">
        <f t="shared" si="47"/>
        <v>1</v>
      </c>
      <c r="G1043" s="54" t="s">
        <v>4033</v>
      </c>
      <c r="H1043" s="55"/>
      <c r="I1043" s="7" t="str">
        <f>IFERROR(__xludf.DUMMYFUNCTION("regexreplace(lower(C1043), ""_"", """")"),"dischargepulmonaryendtime2")</f>
        <v>dischargepulmonaryendtime2</v>
      </c>
      <c r="J1043" s="9" t="b">
        <f t="shared" si="2"/>
        <v>1</v>
      </c>
      <c r="K1043" s="7" t="str">
        <f>IFERROR(__xludf.DUMMYFUNCTION("regexreplace(G1043, ""_"", """")"),"dischargepulmonaryendtime2")</f>
        <v>dischargepulmonaryendtime2</v>
      </c>
      <c r="L1043" s="55" t="s">
        <v>4034</v>
      </c>
      <c r="M1043" s="55"/>
    </row>
    <row r="1044">
      <c r="A1044" s="55"/>
      <c r="B1044" s="54" t="s">
        <v>886</v>
      </c>
      <c r="C1044" s="54" t="s">
        <v>4035</v>
      </c>
      <c r="D1044" s="54" t="s">
        <v>29</v>
      </c>
      <c r="E1044" s="55" t="s">
        <v>4036</v>
      </c>
      <c r="F1044" s="57">
        <f t="shared" si="47"/>
        <v>1</v>
      </c>
      <c r="G1044" s="54" t="s">
        <v>4037</v>
      </c>
      <c r="H1044" s="55"/>
      <c r="I1044" s="7" t="str">
        <f>IFERROR(__xludf.DUMMYFUNCTION("regexreplace(lower(C1044), ""_"", """")"),"dischargepulmonarystartdate3")</f>
        <v>dischargepulmonarystartdate3</v>
      </c>
      <c r="J1044" s="9" t="b">
        <f t="shared" si="2"/>
        <v>1</v>
      </c>
      <c r="K1044" s="7" t="str">
        <f>IFERROR(__xludf.DUMMYFUNCTION("regexreplace(G1044, ""_"", """")"),"dischargepulmonarystartdate3")</f>
        <v>dischargepulmonarystartdate3</v>
      </c>
      <c r="L1044" s="55" t="s">
        <v>4038</v>
      </c>
      <c r="M1044" s="55"/>
    </row>
    <row r="1045">
      <c r="A1045" s="55"/>
      <c r="B1045" s="54" t="s">
        <v>886</v>
      </c>
      <c r="C1045" s="54" t="s">
        <v>4039</v>
      </c>
      <c r="D1045" s="54" t="s">
        <v>148</v>
      </c>
      <c r="E1045" s="55" t="s">
        <v>4040</v>
      </c>
      <c r="F1045" s="57">
        <f t="shared" si="47"/>
        <v>1</v>
      </c>
      <c r="G1045" s="54" t="s">
        <v>4041</v>
      </c>
      <c r="H1045" s="55"/>
      <c r="I1045" s="7" t="str">
        <f>IFERROR(__xludf.DUMMYFUNCTION("regexreplace(lower(C1045), ""_"", """")"),"dischargepulmonarystarttime3")</f>
        <v>dischargepulmonarystarttime3</v>
      </c>
      <c r="J1045" s="9" t="b">
        <f t="shared" si="2"/>
        <v>1</v>
      </c>
      <c r="K1045" s="7" t="str">
        <f>IFERROR(__xludf.DUMMYFUNCTION("regexreplace(G1045, ""_"", """")"),"dischargepulmonarystarttime3")</f>
        <v>dischargepulmonarystarttime3</v>
      </c>
      <c r="L1045" s="55" t="s">
        <v>4042</v>
      </c>
      <c r="M1045" s="55"/>
    </row>
    <row r="1046">
      <c r="A1046" s="55"/>
      <c r="B1046" s="54" t="s">
        <v>886</v>
      </c>
      <c r="C1046" s="54" t="s">
        <v>4043</v>
      </c>
      <c r="D1046" s="54" t="s">
        <v>29</v>
      </c>
      <c r="E1046" s="55" t="s">
        <v>4044</v>
      </c>
      <c r="F1046" s="57">
        <f t="shared" si="47"/>
        <v>1</v>
      </c>
      <c r="G1046" s="54" t="s">
        <v>4045</v>
      </c>
      <c r="H1046" s="55"/>
      <c r="I1046" s="7" t="str">
        <f>IFERROR(__xludf.DUMMYFUNCTION("regexreplace(lower(C1046), ""_"", """")"),"dischargepulmonaryenddate3")</f>
        <v>dischargepulmonaryenddate3</v>
      </c>
      <c r="J1046" s="9" t="b">
        <f t="shared" si="2"/>
        <v>1</v>
      </c>
      <c r="K1046" s="7" t="str">
        <f>IFERROR(__xludf.DUMMYFUNCTION("regexreplace(G1046, ""_"", """")"),"dischargepulmonaryenddate3")</f>
        <v>dischargepulmonaryenddate3</v>
      </c>
      <c r="L1046" s="55" t="s">
        <v>4046</v>
      </c>
      <c r="M1046" s="55"/>
    </row>
    <row r="1047">
      <c r="A1047" s="55"/>
      <c r="B1047" s="54" t="s">
        <v>886</v>
      </c>
      <c r="C1047" s="54" t="s">
        <v>4047</v>
      </c>
      <c r="D1047" s="54" t="s">
        <v>148</v>
      </c>
      <c r="E1047" s="55" t="s">
        <v>4048</v>
      </c>
      <c r="F1047" s="57">
        <f t="shared" si="47"/>
        <v>1</v>
      </c>
      <c r="G1047" s="54" t="s">
        <v>4049</v>
      </c>
      <c r="H1047" s="55"/>
      <c r="I1047" s="7" t="str">
        <f>IFERROR(__xludf.DUMMYFUNCTION("regexreplace(lower(C1047), ""_"", """")"),"dischargepulmonaryendtime3")</f>
        <v>dischargepulmonaryendtime3</v>
      </c>
      <c r="J1047" s="9" t="b">
        <f t="shared" si="2"/>
        <v>1</v>
      </c>
      <c r="K1047" s="7" t="str">
        <f>IFERROR(__xludf.DUMMYFUNCTION("regexreplace(G1047, ""_"", """")"),"dischargepulmonaryendtime3")</f>
        <v>dischargepulmonaryendtime3</v>
      </c>
      <c r="L1047" s="55" t="s">
        <v>4050</v>
      </c>
      <c r="M1047" s="55"/>
    </row>
    <row r="1048">
      <c r="A1048" s="54" t="s">
        <v>3778</v>
      </c>
      <c r="B1048" s="54" t="s">
        <v>4051</v>
      </c>
      <c r="C1048" s="54" t="s">
        <v>4052</v>
      </c>
      <c r="D1048" s="54" t="s">
        <v>43</v>
      </c>
      <c r="E1048" s="55" t="s">
        <v>4053</v>
      </c>
      <c r="F1048" s="57">
        <f t="shared" si="47"/>
        <v>2</v>
      </c>
      <c r="G1048" s="54" t="s">
        <v>4054</v>
      </c>
      <c r="H1048" s="55"/>
      <c r="I1048" s="7" t="str">
        <f>IFERROR(__xludf.DUMMYFUNCTION("regexreplace(lower(C1048), ""_"", """")"),"dischargedic")</f>
        <v>dischargedic</v>
      </c>
      <c r="J1048" s="9" t="b">
        <f t="shared" si="2"/>
        <v>1</v>
      </c>
      <c r="K1048" s="7" t="str">
        <f>IFERROR(__xludf.DUMMYFUNCTION("regexreplace(G1048, ""_"", """")"),"dischargedic")</f>
        <v>dischargedic</v>
      </c>
      <c r="L1048" s="55" t="s">
        <v>4055</v>
      </c>
      <c r="M1048" s="55" t="s">
        <v>4056</v>
      </c>
    </row>
    <row r="1049">
      <c r="A1049" s="54" t="s">
        <v>3778</v>
      </c>
      <c r="B1049" s="54" t="s">
        <v>4057</v>
      </c>
      <c r="C1049" s="54" t="s">
        <v>4058</v>
      </c>
      <c r="D1049" s="54" t="s">
        <v>43</v>
      </c>
      <c r="E1049" s="55" t="s">
        <v>4059</v>
      </c>
      <c r="F1049" s="57">
        <f t="shared" si="47"/>
        <v>2</v>
      </c>
      <c r="G1049" s="54" t="s">
        <v>4060</v>
      </c>
      <c r="H1049" s="55"/>
      <c r="I1049" s="7" t="str">
        <f>IFERROR(__xludf.DUMMYFUNCTION("regexreplace(lower(C1049), ""_"", """")"),"dischargehypoglycemia")</f>
        <v>dischargehypoglycemia</v>
      </c>
      <c r="J1049" s="9" t="b">
        <f t="shared" si="2"/>
        <v>1</v>
      </c>
      <c r="K1049" s="7" t="str">
        <f>IFERROR(__xludf.DUMMYFUNCTION("regexreplace(G1049, ""_"", """")"),"dischargehypoglycemia")</f>
        <v>dischargehypoglycemia</v>
      </c>
      <c r="L1049" s="55" t="s">
        <v>4061</v>
      </c>
      <c r="M1049" s="55" t="s">
        <v>4062</v>
      </c>
    </row>
    <row r="1050">
      <c r="A1050" s="55"/>
      <c r="B1050" s="54" t="s">
        <v>4057</v>
      </c>
      <c r="C1050" s="54" t="s">
        <v>4063</v>
      </c>
      <c r="D1050" s="54" t="s">
        <v>43</v>
      </c>
      <c r="E1050" s="55" t="s">
        <v>4064</v>
      </c>
      <c r="F1050" s="57">
        <f t="shared" si="47"/>
        <v>2</v>
      </c>
      <c r="G1050" s="54" t="s">
        <v>4065</v>
      </c>
      <c r="H1050" s="55"/>
      <c r="I1050" s="7" t="str">
        <f>IFERROR(__xludf.DUMMYFUNCTION("regexreplace(lower(C1050), ""_"", """")"),"dischargehypocalcemia")</f>
        <v>dischargehypocalcemia</v>
      </c>
      <c r="J1050" s="9" t="b">
        <f t="shared" si="2"/>
        <v>1</v>
      </c>
      <c r="K1050" s="7" t="str">
        <f>IFERROR(__xludf.DUMMYFUNCTION("regexreplace(G1050, ""_"", """")"),"dischargehypocalcemia")</f>
        <v>dischargehypocalcemia</v>
      </c>
      <c r="L1050" s="55" t="s">
        <v>4066</v>
      </c>
      <c r="M1050" s="55" t="s">
        <v>4067</v>
      </c>
    </row>
    <row r="1051">
      <c r="A1051" s="55"/>
      <c r="B1051" s="54" t="s">
        <v>4057</v>
      </c>
      <c r="C1051" s="54" t="s">
        <v>4068</v>
      </c>
      <c r="D1051" s="54" t="s">
        <v>43</v>
      </c>
      <c r="E1051" s="55" t="s">
        <v>4069</v>
      </c>
      <c r="F1051" s="57">
        <f t="shared" si="47"/>
        <v>2</v>
      </c>
      <c r="G1051" s="54" t="s">
        <v>4070</v>
      </c>
      <c r="H1051" s="55"/>
      <c r="I1051" s="7" t="str">
        <f>IFERROR(__xludf.DUMMYFUNCTION("regexreplace(lower(C1051), ""_"", """")"),"dischargehypomagnesemia")</f>
        <v>dischargehypomagnesemia</v>
      </c>
      <c r="J1051" s="9" t="b">
        <f t="shared" si="2"/>
        <v>1</v>
      </c>
      <c r="K1051" s="7" t="str">
        <f>IFERROR(__xludf.DUMMYFUNCTION("regexreplace(G1051, ""_"", """")"),"dischargehypomagnesemia")</f>
        <v>dischargehypomagnesemia</v>
      </c>
      <c r="L1051" s="55" t="s">
        <v>4071</v>
      </c>
      <c r="M1051" s="55" t="s">
        <v>4072</v>
      </c>
    </row>
    <row r="1052">
      <c r="A1052" s="12"/>
      <c r="B1052" s="12"/>
      <c r="C1052" s="13"/>
      <c r="D1052" s="12"/>
      <c r="E1052" s="12"/>
      <c r="F1052" s="12"/>
      <c r="G1052" s="12" t="s">
        <v>913</v>
      </c>
      <c r="H1052" s="12"/>
      <c r="I1052" s="7" t="str">
        <f>IFERROR(__xludf.DUMMYFUNCTION("regexreplace(lower(C1052), ""_"", """")"),"")</f>
        <v/>
      </c>
      <c r="J1052" s="9" t="str">
        <f t="shared" si="2"/>
        <v/>
      </c>
      <c r="K1052" s="7" t="str">
        <f>IFERROR(__xludf.DUMMYFUNCTION("regexreplace(G1052, ""_"", """")"),"")</f>
        <v/>
      </c>
      <c r="L1052" s="12"/>
      <c r="M1052" s="12"/>
    </row>
    <row r="1053">
      <c r="A1053" s="54" t="s">
        <v>3778</v>
      </c>
      <c r="B1053" s="54" t="s">
        <v>4073</v>
      </c>
      <c r="C1053" s="54" t="s">
        <v>4074</v>
      </c>
      <c r="D1053" s="54" t="s">
        <v>43</v>
      </c>
      <c r="E1053" s="55" t="s">
        <v>4075</v>
      </c>
      <c r="F1053" s="57">
        <f t="shared" ref="F1053:F1055" si="48">counta(L1053:M1053)</f>
        <v>2</v>
      </c>
      <c r="G1053" s="54" t="s">
        <v>4076</v>
      </c>
      <c r="H1053" s="55"/>
      <c r="I1053" s="7" t="str">
        <f>IFERROR(__xludf.DUMMYFUNCTION("regexreplace(lower(C1053), ""_"", """")"),"dischargeoliguria")</f>
        <v>dischargeoliguria</v>
      </c>
      <c r="J1053" s="9" t="b">
        <f t="shared" si="2"/>
        <v>1</v>
      </c>
      <c r="K1053" s="7" t="str">
        <f>IFERROR(__xludf.DUMMYFUNCTION("regexreplace(G1053, ""_"", """")"),"dischargeoliguria")</f>
        <v>dischargeoliguria</v>
      </c>
      <c r="L1053" s="55" t="s">
        <v>4077</v>
      </c>
      <c r="M1053" s="55" t="s">
        <v>4078</v>
      </c>
    </row>
    <row r="1054">
      <c r="A1054" s="55"/>
      <c r="B1054" s="54" t="s">
        <v>4073</v>
      </c>
      <c r="C1054" s="54" t="s">
        <v>4079</v>
      </c>
      <c r="D1054" s="54" t="s">
        <v>43</v>
      </c>
      <c r="E1054" s="55" t="s">
        <v>4080</v>
      </c>
      <c r="F1054" s="57">
        <f t="shared" si="48"/>
        <v>2</v>
      </c>
      <c r="G1054" s="54" t="s">
        <v>4081</v>
      </c>
      <c r="H1054" s="55"/>
      <c r="I1054" s="7" t="str">
        <f>IFERROR(__xludf.DUMMYFUNCTION("regexreplace(lower(C1054), ""_"", """")"),"dischargeanuria")</f>
        <v>dischargeanuria</v>
      </c>
      <c r="J1054" s="9" t="b">
        <f t="shared" si="2"/>
        <v>1</v>
      </c>
      <c r="K1054" s="7" t="str">
        <f>IFERROR(__xludf.DUMMYFUNCTION("regexreplace(G1054, ""_"", """")"),"dischargeanuria")</f>
        <v>dischargeanuria</v>
      </c>
      <c r="L1054" s="55" t="s">
        <v>4082</v>
      </c>
      <c r="M1054" s="55" t="s">
        <v>4083</v>
      </c>
    </row>
    <row r="1055">
      <c r="A1055" s="55"/>
      <c r="B1055" s="54" t="s">
        <v>4073</v>
      </c>
      <c r="C1055" s="54" t="s">
        <v>4084</v>
      </c>
      <c r="D1055" s="54" t="s">
        <v>43</v>
      </c>
      <c r="E1055" s="55" t="s">
        <v>4085</v>
      </c>
      <c r="F1055" s="57">
        <f t="shared" si="48"/>
        <v>2</v>
      </c>
      <c r="G1055" s="54" t="s">
        <v>4086</v>
      </c>
      <c r="H1055" s="55"/>
      <c r="I1055" s="7" t="str">
        <f>IFERROR(__xludf.DUMMYFUNCTION("regexreplace(lower(C1055), ""_"", """")"),"dischargedialysis")</f>
        <v>dischargedialysis</v>
      </c>
      <c r="J1055" s="9" t="b">
        <f t="shared" si="2"/>
        <v>1</v>
      </c>
      <c r="K1055" s="7" t="str">
        <f>IFERROR(__xludf.DUMMYFUNCTION("regexreplace(G1055, ""_"", """")"),"dischargedialysis")</f>
        <v>dischargedialysis</v>
      </c>
      <c r="L1055" s="55" t="s">
        <v>4087</v>
      </c>
      <c r="M1055" s="55" t="s">
        <v>4088</v>
      </c>
    </row>
    <row r="1056">
      <c r="A1056" s="12"/>
      <c r="B1056" s="12"/>
      <c r="C1056" s="13"/>
      <c r="D1056" s="12"/>
      <c r="E1056" s="12"/>
      <c r="F1056" s="12"/>
      <c r="G1056" s="12" t="s">
        <v>913</v>
      </c>
      <c r="H1056" s="12"/>
      <c r="I1056" s="7" t="str">
        <f>IFERROR(__xludf.DUMMYFUNCTION("regexreplace(lower(C1056), ""_"", """")"),"")</f>
        <v/>
      </c>
      <c r="J1056" s="9" t="str">
        <f t="shared" si="2"/>
        <v/>
      </c>
      <c r="K1056" s="7" t="str">
        <f>IFERROR(__xludf.DUMMYFUNCTION("regexreplace(G1056, ""_"", """")"),"")</f>
        <v/>
      </c>
      <c r="L1056" s="12"/>
      <c r="M1056" s="12"/>
    </row>
    <row r="1057">
      <c r="A1057" s="54" t="s">
        <v>3778</v>
      </c>
      <c r="B1057" s="54" t="s">
        <v>4089</v>
      </c>
      <c r="C1057" s="54" t="s">
        <v>4090</v>
      </c>
      <c r="D1057" s="54" t="s">
        <v>34</v>
      </c>
      <c r="E1057" s="55" t="s">
        <v>4091</v>
      </c>
      <c r="F1057" s="57">
        <f t="shared" ref="F1057:F1062" si="49">counta(L1057:M1057)</f>
        <v>1</v>
      </c>
      <c r="G1057" s="54" t="s">
        <v>4092</v>
      </c>
      <c r="H1057" s="55"/>
      <c r="I1057" s="7" t="str">
        <f>IFERROR(__xludf.DUMMYFUNCTION("regexreplace(lower(C1057), ""_"", """")"),"dischargeenteralfeedstartday")</f>
        <v>dischargeenteralfeedstartday</v>
      </c>
      <c r="J1057" s="9" t="b">
        <f t="shared" si="2"/>
        <v>1</v>
      </c>
      <c r="K1057" s="7" t="str">
        <f>IFERROR(__xludf.DUMMYFUNCTION("regexreplace(G1057, ""_"", """")"),"dischargeenteralfeedstartday")</f>
        <v>dischargeenteralfeedstartday</v>
      </c>
      <c r="L1057" s="55"/>
      <c r="M1057" s="55" t="s">
        <v>4093</v>
      </c>
    </row>
    <row r="1058">
      <c r="A1058" s="55"/>
      <c r="B1058" s="54" t="s">
        <v>4089</v>
      </c>
      <c r="C1058" s="54" t="s">
        <v>4094</v>
      </c>
      <c r="D1058" s="54" t="s">
        <v>34</v>
      </c>
      <c r="E1058" s="55" t="s">
        <v>4095</v>
      </c>
      <c r="F1058" s="57">
        <f t="shared" si="49"/>
        <v>2</v>
      </c>
      <c r="G1058" s="54" t="s">
        <v>4096</v>
      </c>
      <c r="H1058" s="55"/>
      <c r="I1058" s="7" t="str">
        <f>IFERROR(__xludf.DUMMYFUNCTION("regexreplace(lower(C1058), ""_"", """")"),"dischargetubefeedingdurationday")</f>
        <v>dischargetubefeedingdurationday</v>
      </c>
      <c r="J1058" s="9" t="b">
        <f t="shared" si="2"/>
        <v>1</v>
      </c>
      <c r="K1058" s="7" t="str">
        <f>IFERROR(__xludf.DUMMYFUNCTION("regexreplace(G1058, ""_"", """")"),"dischargetubefeedingdurationday")</f>
        <v>dischargetubefeedingdurationday</v>
      </c>
      <c r="L1058" s="55" t="s">
        <v>4097</v>
      </c>
      <c r="M1058" s="55" t="s">
        <v>4098</v>
      </c>
    </row>
    <row r="1059">
      <c r="A1059" s="55"/>
      <c r="B1059" s="54" t="s">
        <v>4089</v>
      </c>
      <c r="C1059" s="54" t="s">
        <v>4099</v>
      </c>
      <c r="D1059" s="54" t="s">
        <v>43</v>
      </c>
      <c r="E1059" s="55" t="s">
        <v>4100</v>
      </c>
      <c r="F1059" s="57">
        <f t="shared" si="49"/>
        <v>1</v>
      </c>
      <c r="G1059" s="54" t="s">
        <v>4101</v>
      </c>
      <c r="H1059" s="55"/>
      <c r="I1059" s="7" t="str">
        <f>IFERROR(__xludf.DUMMYFUNCTION("regexreplace(lower(C1059), ""_"", """")"),"dischargefullnipplefeed")</f>
        <v>dischargefullnipplefeed</v>
      </c>
      <c r="J1059" s="9" t="b">
        <f t="shared" si="2"/>
        <v>1</v>
      </c>
      <c r="K1059" s="7" t="str">
        <f>IFERROR(__xludf.DUMMYFUNCTION("regexreplace(G1059, ""_"", """")"),"dischargefullnipplefeed")</f>
        <v>dischargefullnipplefeed</v>
      </c>
      <c r="L1059" s="55"/>
      <c r="M1059" s="55" t="s">
        <v>4102</v>
      </c>
    </row>
    <row r="1060">
      <c r="A1060" s="55"/>
      <c r="B1060" s="54" t="s">
        <v>4089</v>
      </c>
      <c r="C1060" s="54" t="s">
        <v>4103</v>
      </c>
      <c r="D1060" s="54" t="s">
        <v>34</v>
      </c>
      <c r="E1060" s="55" t="s">
        <v>4104</v>
      </c>
      <c r="F1060" s="57">
        <f t="shared" si="49"/>
        <v>2</v>
      </c>
      <c r="G1060" s="54" t="s">
        <v>4105</v>
      </c>
      <c r="H1060" s="55"/>
      <c r="I1060" s="7" t="str">
        <f>IFERROR(__xludf.DUMMYFUNCTION("regexreplace(lower(C1060), ""_"", """")"),"dischargefullnipplefeedday")</f>
        <v>dischargefullnipplefeedday</v>
      </c>
      <c r="J1060" s="9" t="b">
        <f t="shared" si="2"/>
        <v>1</v>
      </c>
      <c r="K1060" s="7" t="str">
        <f>IFERROR(__xludf.DUMMYFUNCTION("regexreplace(G1060, ""_"", """")"),"dischargefullnipplefeedday")</f>
        <v>dischargefullnipplefeedday</v>
      </c>
      <c r="L1060" s="55" t="s">
        <v>4106</v>
      </c>
      <c r="M1060" s="55" t="s">
        <v>4107</v>
      </c>
    </row>
    <row r="1061">
      <c r="A1061" s="55"/>
      <c r="B1061" s="54" t="s">
        <v>4089</v>
      </c>
      <c r="C1061" s="54" t="s">
        <v>4108</v>
      </c>
      <c r="D1061" s="54" t="s">
        <v>43</v>
      </c>
      <c r="E1061" s="55" t="s">
        <v>4109</v>
      </c>
      <c r="F1061" s="57">
        <f t="shared" si="49"/>
        <v>2</v>
      </c>
      <c r="G1061" s="54" t="s">
        <v>4110</v>
      </c>
      <c r="H1061" s="55"/>
      <c r="I1061" s="7" t="str">
        <f>IFERROR(__xludf.DUMMYFUNCTION("regexreplace(lower(C1061), ""_"", """")"),"dischargenec")</f>
        <v>dischargenec</v>
      </c>
      <c r="J1061" s="9" t="b">
        <f t="shared" si="2"/>
        <v>1</v>
      </c>
      <c r="K1061" s="7" t="str">
        <f>IFERROR(__xludf.DUMMYFUNCTION("regexreplace(G1061, ""_"", """")"),"dischargenec")</f>
        <v>dischargenec</v>
      </c>
      <c r="L1061" s="55" t="s">
        <v>4111</v>
      </c>
      <c r="M1061" s="55" t="s">
        <v>4112</v>
      </c>
    </row>
    <row r="1062">
      <c r="A1062" s="55"/>
      <c r="B1062" s="54" t="s">
        <v>4089</v>
      </c>
      <c r="C1062" s="54" t="s">
        <v>4113</v>
      </c>
      <c r="D1062" s="54" t="s">
        <v>43</v>
      </c>
      <c r="E1062" s="55" t="s">
        <v>4114</v>
      </c>
      <c r="F1062" s="57">
        <f t="shared" si="49"/>
        <v>2</v>
      </c>
      <c r="G1062" s="54" t="s">
        <v>4115</v>
      </c>
      <c r="H1062" s="55"/>
      <c r="I1062" s="7" t="str">
        <f>IFERROR(__xludf.DUMMYFUNCTION("regexreplace(lower(C1062), ""_"", """")"),"dischargehepaticdysfunction")</f>
        <v>dischargehepaticdysfunction</v>
      </c>
      <c r="J1062" s="9" t="b">
        <f t="shared" si="2"/>
        <v>1</v>
      </c>
      <c r="K1062" s="7" t="str">
        <f>IFERROR(__xludf.DUMMYFUNCTION("regexreplace(G1062, ""_"", """")"),"dischargehepaticdysfunction")</f>
        <v>dischargehepaticdysfunction</v>
      </c>
      <c r="L1062" s="55" t="s">
        <v>4116</v>
      </c>
      <c r="M1062" s="55" t="s">
        <v>4117</v>
      </c>
    </row>
    <row r="1063">
      <c r="A1063" s="12"/>
      <c r="B1063" s="12"/>
      <c r="C1063" s="13"/>
      <c r="D1063" s="12"/>
      <c r="E1063" s="12"/>
      <c r="F1063" s="12"/>
      <c r="G1063" s="12"/>
      <c r="H1063" s="12"/>
      <c r="I1063" s="7" t="str">
        <f>IFERROR(__xludf.DUMMYFUNCTION("regexreplace(lower(C1063), ""_"", """")"),"")</f>
        <v/>
      </c>
      <c r="J1063" s="9" t="str">
        <f t="shared" si="2"/>
        <v/>
      </c>
      <c r="K1063" s="7" t="str">
        <f>IFERROR(__xludf.DUMMYFUNCTION("regexreplace(G1063, ""_"", """")"),"")</f>
        <v/>
      </c>
      <c r="L1063" s="12"/>
      <c r="M1063" s="12"/>
    </row>
    <row r="1064">
      <c r="A1064" s="54" t="s">
        <v>3778</v>
      </c>
      <c r="B1064" s="54" t="s">
        <v>4118</v>
      </c>
      <c r="C1064" s="54" t="s">
        <v>4119</v>
      </c>
      <c r="D1064" s="54" t="s">
        <v>43</v>
      </c>
      <c r="E1064" s="55" t="s">
        <v>4120</v>
      </c>
      <c r="F1064" s="57">
        <f t="shared" ref="F1064:F1076" si="50">counta(L1064:M1064)</f>
        <v>1</v>
      </c>
      <c r="G1064" s="54" t="s">
        <v>4121</v>
      </c>
      <c r="H1064" s="55"/>
      <c r="I1064" s="7" t="str">
        <f>IFERROR(__xludf.DUMMYFUNCTION("regexreplace(lower(C1064), ""_"", """")"),"dischargealteredskinitegritypostintervention")</f>
        <v>dischargealteredskinitegritypostintervention</v>
      </c>
      <c r="J1064" s="9" t="b">
        <f t="shared" si="2"/>
        <v>1</v>
      </c>
      <c r="K1064" s="7" t="str">
        <f>IFERROR(__xludf.DUMMYFUNCTION("regexreplace(G1064, ""_"", """")"),"dischargealteredskinitegritypostintervention")</f>
        <v>dischargealteredskinitegritypostintervention</v>
      </c>
      <c r="L1064" s="55"/>
      <c r="M1064" s="55" t="s">
        <v>4122</v>
      </c>
    </row>
    <row r="1065">
      <c r="A1065" s="55"/>
      <c r="B1065" s="54" t="s">
        <v>4118</v>
      </c>
      <c r="C1065" s="54" t="s">
        <v>4123</v>
      </c>
      <c r="D1065" s="54" t="s">
        <v>43</v>
      </c>
      <c r="E1065" s="55" t="s">
        <v>4124</v>
      </c>
      <c r="F1065" s="57">
        <f t="shared" si="50"/>
        <v>1</v>
      </c>
      <c r="G1065" s="54" t="s">
        <v>4125</v>
      </c>
      <c r="H1065" s="55"/>
      <c r="I1065" s="7" t="str">
        <f>IFERROR(__xludf.DUMMYFUNCTION("regexreplace(lower(C1065), ""_"", """")"),"dischargeerythema")</f>
        <v>dischargeerythema</v>
      </c>
      <c r="J1065" s="9" t="b">
        <f t="shared" si="2"/>
        <v>1</v>
      </c>
      <c r="K1065" s="7" t="str">
        <f>IFERROR(__xludf.DUMMYFUNCTION("regexreplace(G1065, ""_"", """")"),"dischargeerythema")</f>
        <v>dischargeerythema</v>
      </c>
      <c r="L1065" s="55"/>
      <c r="M1065" s="55" t="s">
        <v>4126</v>
      </c>
    </row>
    <row r="1066">
      <c r="A1066" s="55"/>
      <c r="B1066" s="54" t="s">
        <v>4118</v>
      </c>
      <c r="C1066" s="54" t="s">
        <v>4127</v>
      </c>
      <c r="D1066" s="54" t="s">
        <v>29</v>
      </c>
      <c r="E1066" s="55" t="s">
        <v>4128</v>
      </c>
      <c r="F1066" s="57">
        <f t="shared" si="50"/>
        <v>1</v>
      </c>
      <c r="G1066" s="54" t="s">
        <v>4129</v>
      </c>
      <c r="H1066" s="55"/>
      <c r="I1066" s="7" t="str">
        <f>IFERROR(__xludf.DUMMYFUNCTION("regexreplace(lower(C1066), ""_"", """")"),"dischargeerythemaonsetdate")</f>
        <v>dischargeerythemaonsetdate</v>
      </c>
      <c r="J1066" s="9" t="b">
        <f t="shared" si="2"/>
        <v>1</v>
      </c>
      <c r="K1066" s="7" t="str">
        <f>IFERROR(__xludf.DUMMYFUNCTION("regexreplace(G1066, ""_"", """")"),"dischargeerythemaonsetdate")</f>
        <v>dischargeerythemaonsetdate</v>
      </c>
      <c r="L1066" s="55"/>
      <c r="M1066" s="55" t="s">
        <v>4130</v>
      </c>
    </row>
    <row r="1067">
      <c r="A1067" s="55"/>
      <c r="B1067" s="54" t="s">
        <v>4118</v>
      </c>
      <c r="C1067" s="54" t="s">
        <v>4131</v>
      </c>
      <c r="D1067" s="54" t="s">
        <v>29</v>
      </c>
      <c r="E1067" s="55" t="s">
        <v>4132</v>
      </c>
      <c r="F1067" s="57">
        <f t="shared" si="50"/>
        <v>1</v>
      </c>
      <c r="G1067" s="54" t="s">
        <v>4133</v>
      </c>
      <c r="H1067" s="55"/>
      <c r="I1067" s="7" t="str">
        <f>IFERROR(__xludf.DUMMYFUNCTION("regexreplace(lower(C1067), ""_"", """")"),"dischargeerythemaresolvedate")</f>
        <v>dischargeerythemaresolvedate</v>
      </c>
      <c r="J1067" s="9" t="b">
        <f t="shared" si="2"/>
        <v>1</v>
      </c>
      <c r="K1067" s="7" t="str">
        <f>IFERROR(__xludf.DUMMYFUNCTION("regexreplace(G1067, ""_"", """")"),"dischargeerythemaresolvedate")</f>
        <v>dischargeerythemaresolvedate</v>
      </c>
      <c r="L1067" s="55"/>
      <c r="M1067" s="55" t="s">
        <v>4134</v>
      </c>
    </row>
    <row r="1068">
      <c r="A1068" s="55"/>
      <c r="B1068" s="54" t="s">
        <v>4118</v>
      </c>
      <c r="C1068" s="54" t="s">
        <v>4135</v>
      </c>
      <c r="D1068" s="54" t="s">
        <v>43</v>
      </c>
      <c r="E1068" s="55" t="s">
        <v>4136</v>
      </c>
      <c r="F1068" s="57">
        <f t="shared" si="50"/>
        <v>1</v>
      </c>
      <c r="G1068" s="54" t="s">
        <v>4137</v>
      </c>
      <c r="H1068" s="55"/>
      <c r="I1068" s="7" t="str">
        <f>IFERROR(__xludf.DUMMYFUNCTION("regexreplace(lower(C1068), ""_"", """")"),"dischargesclerema")</f>
        <v>dischargesclerema</v>
      </c>
      <c r="J1068" s="9" t="b">
        <f t="shared" si="2"/>
        <v>1</v>
      </c>
      <c r="K1068" s="7" t="str">
        <f>IFERROR(__xludf.DUMMYFUNCTION("regexreplace(G1068, ""_"", """")"),"dischargesclerema")</f>
        <v>dischargesclerema</v>
      </c>
      <c r="L1068" s="55"/>
      <c r="M1068" s="55" t="s">
        <v>4138</v>
      </c>
    </row>
    <row r="1069">
      <c r="A1069" s="55"/>
      <c r="B1069" s="54" t="s">
        <v>4118</v>
      </c>
      <c r="C1069" s="54" t="s">
        <v>4139</v>
      </c>
      <c r="D1069" s="54" t="s">
        <v>29</v>
      </c>
      <c r="E1069" s="55" t="s">
        <v>4140</v>
      </c>
      <c r="F1069" s="57">
        <f t="shared" si="50"/>
        <v>1</v>
      </c>
      <c r="G1069" s="54" t="s">
        <v>4141</v>
      </c>
      <c r="H1069" s="55"/>
      <c r="I1069" s="7" t="str">
        <f>IFERROR(__xludf.DUMMYFUNCTION("regexreplace(lower(C1069), ""_"", """")"),"dischargescleremaonsetdate")</f>
        <v>dischargescleremaonsetdate</v>
      </c>
      <c r="J1069" s="9" t="b">
        <f t="shared" si="2"/>
        <v>1</v>
      </c>
      <c r="K1069" s="7" t="str">
        <f>IFERROR(__xludf.DUMMYFUNCTION("regexreplace(G1069, ""_"", """")"),"dischargescleremaonsetdate")</f>
        <v>dischargescleremaonsetdate</v>
      </c>
      <c r="L1069" s="55"/>
      <c r="M1069" s="55" t="s">
        <v>4142</v>
      </c>
    </row>
    <row r="1070">
      <c r="A1070" s="55"/>
      <c r="B1070" s="54" t="s">
        <v>4118</v>
      </c>
      <c r="C1070" s="54" t="s">
        <v>4143</v>
      </c>
      <c r="D1070" s="54" t="s">
        <v>29</v>
      </c>
      <c r="E1070" s="55" t="s">
        <v>4144</v>
      </c>
      <c r="F1070" s="57">
        <f t="shared" si="50"/>
        <v>1</v>
      </c>
      <c r="G1070" s="54" t="s">
        <v>4145</v>
      </c>
      <c r="H1070" s="55"/>
      <c r="I1070" s="7" t="str">
        <f>IFERROR(__xludf.DUMMYFUNCTION("regexreplace(lower(C1070), ""_"", """")"),"dischargescleremaresolvedate")</f>
        <v>dischargescleremaresolvedate</v>
      </c>
      <c r="J1070" s="9" t="b">
        <f t="shared" si="2"/>
        <v>1</v>
      </c>
      <c r="K1070" s="7" t="str">
        <f>IFERROR(__xludf.DUMMYFUNCTION("regexreplace(G1070, ""_"", """")"),"dischargescleremaresolvedate")</f>
        <v>dischargescleremaresolvedate</v>
      </c>
      <c r="L1070" s="55"/>
      <c r="M1070" s="55" t="s">
        <v>4146</v>
      </c>
    </row>
    <row r="1071">
      <c r="A1071" s="55"/>
      <c r="B1071" s="54" t="s">
        <v>4118</v>
      </c>
      <c r="C1071" s="54" t="s">
        <v>4147</v>
      </c>
      <c r="D1071" s="54" t="s">
        <v>43</v>
      </c>
      <c r="E1071" s="55" t="s">
        <v>4148</v>
      </c>
      <c r="F1071" s="57">
        <f t="shared" si="50"/>
        <v>1</v>
      </c>
      <c r="G1071" s="54" t="s">
        <v>4149</v>
      </c>
      <c r="H1071" s="55"/>
      <c r="I1071" s="7" t="str">
        <f>IFERROR(__xludf.DUMMYFUNCTION("regexreplace(lower(C1071), ""_"", """")"),"dischargecyanosis")</f>
        <v>dischargecyanosis</v>
      </c>
      <c r="J1071" s="9" t="b">
        <f t="shared" si="2"/>
        <v>1</v>
      </c>
      <c r="K1071" s="7" t="str">
        <f>IFERROR(__xludf.DUMMYFUNCTION("regexreplace(G1071, ""_"", """")"),"dischargecyanosis")</f>
        <v>dischargecyanosis</v>
      </c>
      <c r="L1071" s="55"/>
      <c r="M1071" s="55" t="s">
        <v>4150</v>
      </c>
    </row>
    <row r="1072">
      <c r="A1072" s="55"/>
      <c r="B1072" s="54" t="s">
        <v>4118</v>
      </c>
      <c r="C1072" s="54" t="s">
        <v>4151</v>
      </c>
      <c r="D1072" s="54" t="s">
        <v>29</v>
      </c>
      <c r="E1072" s="55" t="s">
        <v>4152</v>
      </c>
      <c r="F1072" s="57">
        <f t="shared" si="50"/>
        <v>1</v>
      </c>
      <c r="G1072" s="54" t="s">
        <v>4153</v>
      </c>
      <c r="H1072" s="55"/>
      <c r="I1072" s="7" t="str">
        <f>IFERROR(__xludf.DUMMYFUNCTION("regexreplace(lower(C1072), ""_"", """")"),"dischargecyanosisonsetdate")</f>
        <v>dischargecyanosisonsetdate</v>
      </c>
      <c r="J1072" s="9" t="b">
        <f t="shared" si="2"/>
        <v>1</v>
      </c>
      <c r="K1072" s="7" t="str">
        <f>IFERROR(__xludf.DUMMYFUNCTION("regexreplace(G1072, ""_"", """")"),"dischargecyanosisonsetdate")</f>
        <v>dischargecyanosisonsetdate</v>
      </c>
      <c r="L1072" s="55"/>
      <c r="M1072" s="55" t="s">
        <v>4154</v>
      </c>
    </row>
    <row r="1073">
      <c r="A1073" s="55"/>
      <c r="B1073" s="54" t="s">
        <v>4118</v>
      </c>
      <c r="C1073" s="54" t="s">
        <v>4155</v>
      </c>
      <c r="D1073" s="54" t="s">
        <v>29</v>
      </c>
      <c r="E1073" s="55" t="s">
        <v>4156</v>
      </c>
      <c r="F1073" s="57">
        <f t="shared" si="50"/>
        <v>1</v>
      </c>
      <c r="G1073" s="54" t="s">
        <v>4157</v>
      </c>
      <c r="H1073" s="55"/>
      <c r="I1073" s="7" t="str">
        <f>IFERROR(__xludf.DUMMYFUNCTION("regexreplace(lower(C1073), ""_"", """")"),"dischargecyanosisresolvedate")</f>
        <v>dischargecyanosisresolvedate</v>
      </c>
      <c r="J1073" s="9" t="b">
        <f t="shared" si="2"/>
        <v>1</v>
      </c>
      <c r="K1073" s="7" t="str">
        <f>IFERROR(__xludf.DUMMYFUNCTION("regexreplace(G1073, ""_"", """")"),"dischargecyanosisresolvedate")</f>
        <v>dischargecyanosisresolvedate</v>
      </c>
      <c r="L1073" s="55"/>
      <c r="M1073" s="55" t="s">
        <v>4158</v>
      </c>
    </row>
    <row r="1074">
      <c r="A1074" s="55"/>
      <c r="B1074" s="54" t="s">
        <v>4118</v>
      </c>
      <c r="C1074" s="54" t="s">
        <v>4159</v>
      </c>
      <c r="D1074" s="54" t="s">
        <v>43</v>
      </c>
      <c r="E1074" s="55" t="s">
        <v>4160</v>
      </c>
      <c r="F1074" s="57">
        <f t="shared" si="50"/>
        <v>1</v>
      </c>
      <c r="G1074" s="54" t="s">
        <v>4161</v>
      </c>
      <c r="H1074" s="55"/>
      <c r="I1074" s="7" t="str">
        <f>IFERROR(__xludf.DUMMYFUNCTION("regexreplace(lower(C1074), ""_"", """")"),"dischargesubfatnecrosis")</f>
        <v>dischargesubfatnecrosis</v>
      </c>
      <c r="J1074" s="9" t="b">
        <f t="shared" si="2"/>
        <v>1</v>
      </c>
      <c r="K1074" s="7" t="str">
        <f>IFERROR(__xludf.DUMMYFUNCTION("regexreplace(G1074, ""_"", """")"),"dischargesubfatnecrosis")</f>
        <v>dischargesubfatnecrosis</v>
      </c>
      <c r="L1074" s="55"/>
      <c r="M1074" s="55" t="s">
        <v>4162</v>
      </c>
    </row>
    <row r="1075">
      <c r="A1075" s="55"/>
      <c r="B1075" s="54" t="s">
        <v>4118</v>
      </c>
      <c r="C1075" s="54" t="s">
        <v>4163</v>
      </c>
      <c r="D1075" s="54" t="s">
        <v>29</v>
      </c>
      <c r="E1075" s="55" t="s">
        <v>4164</v>
      </c>
      <c r="F1075" s="57">
        <f t="shared" si="50"/>
        <v>1</v>
      </c>
      <c r="G1075" s="54" t="s">
        <v>4165</v>
      </c>
      <c r="H1075" s="55"/>
      <c r="I1075" s="7" t="str">
        <f>IFERROR(__xludf.DUMMYFUNCTION("regexreplace(lower(C1075), ""_"", """")"),"dischargesubfatnecrosisonsetdate")</f>
        <v>dischargesubfatnecrosisonsetdate</v>
      </c>
      <c r="J1075" s="9" t="b">
        <f t="shared" si="2"/>
        <v>1</v>
      </c>
      <c r="K1075" s="7" t="str">
        <f>IFERROR(__xludf.DUMMYFUNCTION("regexreplace(G1075, ""_"", """")"),"dischargesubfatnecrosisonsetdate")</f>
        <v>dischargesubfatnecrosisonsetdate</v>
      </c>
      <c r="L1075" s="55"/>
      <c r="M1075" s="55" t="s">
        <v>4166</v>
      </c>
    </row>
    <row r="1076">
      <c r="A1076" s="55"/>
      <c r="B1076" s="54" t="s">
        <v>4118</v>
      </c>
      <c r="C1076" s="54" t="s">
        <v>4167</v>
      </c>
      <c r="D1076" s="54" t="s">
        <v>29</v>
      </c>
      <c r="E1076" s="55" t="s">
        <v>4168</v>
      </c>
      <c r="F1076" s="57">
        <f t="shared" si="50"/>
        <v>1</v>
      </c>
      <c r="G1076" s="54" t="s">
        <v>4169</v>
      </c>
      <c r="H1076" s="55"/>
      <c r="I1076" s="7" t="str">
        <f>IFERROR(__xludf.DUMMYFUNCTION("regexreplace(lower(C1076), ""_"", """")"),"dischargesubfatnecrosisresolvedate")</f>
        <v>dischargesubfatnecrosisresolvedate</v>
      </c>
      <c r="J1076" s="9" t="b">
        <f t="shared" si="2"/>
        <v>1</v>
      </c>
      <c r="K1076" s="7" t="str">
        <f>IFERROR(__xludf.DUMMYFUNCTION("regexreplace(G1076, ""_"", """")"),"dischargesubfatnecrosisresolvedate")</f>
        <v>dischargesubfatnecrosisresolvedate</v>
      </c>
      <c r="L1076" s="55"/>
      <c r="M1076" s="55" t="s">
        <v>4170</v>
      </c>
    </row>
    <row r="1077">
      <c r="A1077" s="12"/>
      <c r="B1077" s="12"/>
      <c r="C1077" s="13"/>
      <c r="D1077" s="12"/>
      <c r="E1077" s="12"/>
      <c r="F1077" s="12"/>
      <c r="G1077" s="12" t="s">
        <v>913</v>
      </c>
      <c r="H1077" s="12"/>
      <c r="I1077" s="7" t="str">
        <f>IFERROR(__xludf.DUMMYFUNCTION("regexreplace(lower(C1077), ""_"", """")"),"")</f>
        <v/>
      </c>
      <c r="J1077" s="9" t="str">
        <f t="shared" si="2"/>
        <v/>
      </c>
      <c r="K1077" s="7" t="str">
        <f>IFERROR(__xludf.DUMMYFUNCTION("regexreplace(G1077, ""_"", """")"),"")</f>
        <v/>
      </c>
      <c r="L1077" s="12"/>
      <c r="M1077" s="12"/>
    </row>
    <row r="1078">
      <c r="A1078" s="54" t="s">
        <v>3778</v>
      </c>
      <c r="B1078" s="54" t="s">
        <v>4171</v>
      </c>
      <c r="C1078" s="54" t="s">
        <v>4172</v>
      </c>
      <c r="D1078" s="54" t="s">
        <v>43</v>
      </c>
      <c r="E1078" s="55" t="s">
        <v>4173</v>
      </c>
      <c r="F1078" s="57">
        <f t="shared" ref="F1078:F1079" si="51">counta(L1078:M1078)</f>
        <v>2</v>
      </c>
      <c r="G1078" s="54" t="s">
        <v>4174</v>
      </c>
      <c r="H1078" s="55"/>
      <c r="I1078" s="7" t="str">
        <f>IFERROR(__xludf.DUMMYFUNCTION("regexreplace(lower(C1078), ""_"", """")"),"dischargehearingtest")</f>
        <v>dischargehearingtest</v>
      </c>
      <c r="J1078" s="9" t="b">
        <f t="shared" si="2"/>
        <v>1</v>
      </c>
      <c r="K1078" s="7" t="str">
        <f>IFERROR(__xludf.DUMMYFUNCTION("regexreplace(G1078, ""_"", """")"),"dischargehearingtest")</f>
        <v>dischargehearingtest</v>
      </c>
      <c r="L1078" s="55" t="s">
        <v>4175</v>
      </c>
      <c r="M1078" s="55" t="s">
        <v>4176</v>
      </c>
    </row>
    <row r="1079">
      <c r="A1079" s="55"/>
      <c r="B1079" s="54" t="s">
        <v>4171</v>
      </c>
      <c r="C1079" s="54" t="s">
        <v>4177</v>
      </c>
      <c r="D1079" s="54" t="s">
        <v>43</v>
      </c>
      <c r="E1079" s="55" t="s">
        <v>4178</v>
      </c>
      <c r="F1079" s="57">
        <f t="shared" si="51"/>
        <v>2</v>
      </c>
      <c r="G1079" s="54" t="s">
        <v>4179</v>
      </c>
      <c r="H1079" s="55"/>
      <c r="I1079" s="7" t="str">
        <f>IFERROR(__xludf.DUMMYFUNCTION("regexreplace(lower(C1079), ""_"", """")"),"dischargehearingtestnormal")</f>
        <v>dischargehearingtestnormal</v>
      </c>
      <c r="J1079" s="9" t="b">
        <f t="shared" si="2"/>
        <v>1</v>
      </c>
      <c r="K1079" s="7" t="str">
        <f>IFERROR(__xludf.DUMMYFUNCTION("regexreplace(G1079, ""_"", """")"),"dischargehearingtestnormal")</f>
        <v>dischargehearingtestnormal</v>
      </c>
      <c r="L1079" s="55" t="s">
        <v>4180</v>
      </c>
      <c r="M1079" s="55" t="s">
        <v>4181</v>
      </c>
    </row>
    <row r="1080">
      <c r="A1080" s="12"/>
      <c r="B1080" s="12"/>
      <c r="C1080" s="13"/>
      <c r="D1080" s="12"/>
      <c r="E1080" s="12"/>
      <c r="F1080" s="12"/>
      <c r="G1080" s="12"/>
      <c r="H1080" s="12"/>
      <c r="I1080" s="7" t="str">
        <f>IFERROR(__xludf.DUMMYFUNCTION("regexreplace(lower(C1080), ""_"", """")"),"")</f>
        <v/>
      </c>
      <c r="J1080" s="9" t="str">
        <f t="shared" si="2"/>
        <v/>
      </c>
      <c r="K1080" s="7" t="str">
        <f>IFERROR(__xludf.DUMMYFUNCTION("regexreplace(G1080, ""_"", """")"),"")</f>
        <v/>
      </c>
      <c r="L1080" s="12"/>
      <c r="M1080" s="12"/>
    </row>
    <row r="1081">
      <c r="A1081" s="54" t="s">
        <v>3778</v>
      </c>
      <c r="B1081" s="54" t="s">
        <v>4182</v>
      </c>
      <c r="C1081" s="54" t="s">
        <v>4183</v>
      </c>
      <c r="D1081" s="54" t="s">
        <v>43</v>
      </c>
      <c r="E1081" s="55" t="s">
        <v>4184</v>
      </c>
      <c r="F1081" s="57">
        <f t="shared" ref="F1081:F1084" si="52">counta(L1081:M1081)</f>
        <v>2</v>
      </c>
      <c r="G1081" s="54" t="s">
        <v>4185</v>
      </c>
      <c r="H1081" s="55"/>
      <c r="I1081" s="7" t="str">
        <f>IFERROR(__xludf.DUMMYFUNCTION("regexreplace(lower(C1081), ""_"", """")"),"dischargemajorsurgery")</f>
        <v>dischargemajorsurgery</v>
      </c>
      <c r="J1081" s="9" t="b">
        <f t="shared" si="2"/>
        <v>1</v>
      </c>
      <c r="K1081" s="7" t="str">
        <f>IFERROR(__xludf.DUMMYFUNCTION("regexreplace(G1081, ""_"", """")"),"dischargemajorsurgery")</f>
        <v>dischargemajorsurgery</v>
      </c>
      <c r="L1081" s="55" t="s">
        <v>4186</v>
      </c>
      <c r="M1081" s="55" t="s">
        <v>4187</v>
      </c>
    </row>
    <row r="1082">
      <c r="A1082" s="55"/>
      <c r="B1082" s="54" t="s">
        <v>4182</v>
      </c>
      <c r="C1082" s="54" t="s">
        <v>4188</v>
      </c>
      <c r="D1082" s="54" t="s">
        <v>4189</v>
      </c>
      <c r="E1082" s="55" t="s">
        <v>4190</v>
      </c>
      <c r="F1082" s="57">
        <f t="shared" si="52"/>
        <v>2</v>
      </c>
      <c r="G1082" s="54" t="s">
        <v>4191</v>
      </c>
      <c r="H1082" s="55"/>
      <c r="I1082" s="7" t="str">
        <f>IFERROR(__xludf.DUMMYFUNCTION("regexreplace(lower(C1082), ""_"", """")"),"dischargesurgerycode1")</f>
        <v>dischargesurgerycode1</v>
      </c>
      <c r="J1082" s="9" t="b">
        <f t="shared" si="2"/>
        <v>1</v>
      </c>
      <c r="K1082" s="7" t="str">
        <f>IFERROR(__xludf.DUMMYFUNCTION("regexreplace(G1082, ""_"", """")"),"dischargesurgerycode1")</f>
        <v>dischargesurgerycode1</v>
      </c>
      <c r="L1082" s="55" t="s">
        <v>4192</v>
      </c>
      <c r="M1082" s="55" t="s">
        <v>4193</v>
      </c>
    </row>
    <row r="1083">
      <c r="A1083" s="55"/>
      <c r="B1083" s="54" t="s">
        <v>4182</v>
      </c>
      <c r="C1083" s="54" t="s">
        <v>4194</v>
      </c>
      <c r="D1083" s="54" t="s">
        <v>4189</v>
      </c>
      <c r="E1083" s="55" t="s">
        <v>4195</v>
      </c>
      <c r="F1083" s="57">
        <f t="shared" si="52"/>
        <v>2</v>
      </c>
      <c r="G1083" s="54" t="s">
        <v>4196</v>
      </c>
      <c r="H1083" s="55"/>
      <c r="I1083" s="7" t="str">
        <f>IFERROR(__xludf.DUMMYFUNCTION("regexreplace(lower(C1083), ""_"", """")"),"dischargesurgerycode2")</f>
        <v>dischargesurgerycode2</v>
      </c>
      <c r="J1083" s="9" t="b">
        <f t="shared" si="2"/>
        <v>1</v>
      </c>
      <c r="K1083" s="7" t="str">
        <f>IFERROR(__xludf.DUMMYFUNCTION("regexreplace(G1083, ""_"", """")"),"dischargesurgerycode2")</f>
        <v>dischargesurgerycode2</v>
      </c>
      <c r="L1083" s="55" t="s">
        <v>4197</v>
      </c>
      <c r="M1083" s="55" t="s">
        <v>4198</v>
      </c>
    </row>
    <row r="1084">
      <c r="A1084" s="55"/>
      <c r="B1084" s="54" t="s">
        <v>4182</v>
      </c>
      <c r="C1084" s="54" t="s">
        <v>4199</v>
      </c>
      <c r="D1084" s="54" t="s">
        <v>4189</v>
      </c>
      <c r="E1084" s="55" t="s">
        <v>4200</v>
      </c>
      <c r="F1084" s="57">
        <f t="shared" si="52"/>
        <v>2</v>
      </c>
      <c r="G1084" s="54" t="s">
        <v>4201</v>
      </c>
      <c r="H1084" s="55"/>
      <c r="I1084" s="7" t="str">
        <f>IFERROR(__xludf.DUMMYFUNCTION("regexreplace(lower(C1084), ""_"", """")"),"dischargesurgerycode3")</f>
        <v>dischargesurgerycode3</v>
      </c>
      <c r="J1084" s="9" t="b">
        <f t="shared" si="2"/>
        <v>1</v>
      </c>
      <c r="K1084" s="7" t="str">
        <f>IFERROR(__xludf.DUMMYFUNCTION("regexreplace(G1084, ""_"", """")"),"dischargesurgerycode3")</f>
        <v>dischargesurgerycode3</v>
      </c>
      <c r="L1084" s="55" t="s">
        <v>4202</v>
      </c>
      <c r="M1084" s="55" t="s">
        <v>4203</v>
      </c>
    </row>
    <row r="1085">
      <c r="A1085" s="12"/>
      <c r="B1085" s="12"/>
      <c r="C1085" s="13"/>
      <c r="D1085" s="12"/>
      <c r="E1085" s="12"/>
      <c r="F1085" s="12"/>
      <c r="G1085" s="12" t="s">
        <v>913</v>
      </c>
      <c r="H1085" s="12"/>
      <c r="I1085" s="7" t="str">
        <f>IFERROR(__xludf.DUMMYFUNCTION("regexreplace(lower(C1085), ""_"", """")"),"")</f>
        <v/>
      </c>
      <c r="J1085" s="9" t="str">
        <f t="shared" si="2"/>
        <v/>
      </c>
      <c r="K1085" s="7" t="str">
        <f>IFERROR(__xludf.DUMMYFUNCTION("regexreplace(G1085, ""_"", """")"),"")</f>
        <v/>
      </c>
      <c r="L1085" s="12"/>
      <c r="M1085" s="12"/>
    </row>
    <row r="1086">
      <c r="A1086" s="54" t="s">
        <v>3778</v>
      </c>
      <c r="B1086" s="54" t="s">
        <v>987</v>
      </c>
      <c r="C1086" s="54" t="s">
        <v>4204</v>
      </c>
      <c r="D1086" s="54" t="s">
        <v>43</v>
      </c>
      <c r="E1086" s="55" t="s">
        <v>4205</v>
      </c>
      <c r="F1086" s="57">
        <f t="shared" ref="F1086:F1093" si="53">counta(L1086:M1086)</f>
        <v>2</v>
      </c>
      <c r="G1086" s="54" t="s">
        <v>4206</v>
      </c>
      <c r="H1086" s="55"/>
      <c r="I1086" s="7" t="str">
        <f>IFERROR(__xludf.DUMMYFUNCTION("regexreplace(lower(C1086), ""_"", """")"),"dischargesepticemia")</f>
        <v>dischargesepticemia</v>
      </c>
      <c r="J1086" s="9" t="b">
        <f t="shared" si="2"/>
        <v>1</v>
      </c>
      <c r="K1086" s="7" t="str">
        <f>IFERROR(__xludf.DUMMYFUNCTION("regexreplace(G1086, ""_"", """")"),"dischargesepticemia")</f>
        <v>dischargesepticemia</v>
      </c>
      <c r="L1086" s="55" t="s">
        <v>4207</v>
      </c>
      <c r="M1086" s="55" t="s">
        <v>4208</v>
      </c>
    </row>
    <row r="1087">
      <c r="A1087" s="55"/>
      <c r="B1087" s="54" t="s">
        <v>987</v>
      </c>
      <c r="C1087" s="54" t="s">
        <v>4209</v>
      </c>
      <c r="D1087" s="54" t="s">
        <v>1006</v>
      </c>
      <c r="E1087" s="55" t="s">
        <v>4210</v>
      </c>
      <c r="F1087" s="57">
        <f t="shared" si="53"/>
        <v>2</v>
      </c>
      <c r="G1087" s="54" t="s">
        <v>4211</v>
      </c>
      <c r="H1087" s="55"/>
      <c r="I1087" s="7" t="str">
        <f>IFERROR(__xludf.DUMMYFUNCTION("regexreplace(lower(C1087), ""_"", """")"),"dischargesepticemiaorganismcode1")</f>
        <v>dischargesepticemiaorganismcode1</v>
      </c>
      <c r="J1087" s="9" t="b">
        <f t="shared" si="2"/>
        <v>1</v>
      </c>
      <c r="K1087" s="7" t="str">
        <f>IFERROR(__xludf.DUMMYFUNCTION("regexreplace(G1087, ""_"", """")"),"dischargesepticemiaorganismcode1")</f>
        <v>dischargesepticemiaorganismcode1</v>
      </c>
      <c r="L1087" s="55" t="s">
        <v>4212</v>
      </c>
      <c r="M1087" s="55" t="s">
        <v>4213</v>
      </c>
    </row>
    <row r="1088">
      <c r="A1088" s="55"/>
      <c r="B1088" s="54" t="s">
        <v>987</v>
      </c>
      <c r="C1088" s="54" t="s">
        <v>4214</v>
      </c>
      <c r="D1088" s="54" t="s">
        <v>1006</v>
      </c>
      <c r="E1088" s="55" t="s">
        <v>4215</v>
      </c>
      <c r="F1088" s="57">
        <f t="shared" si="53"/>
        <v>2</v>
      </c>
      <c r="G1088" s="54" t="s">
        <v>4216</v>
      </c>
      <c r="H1088" s="55"/>
      <c r="I1088" s="7" t="str">
        <f>IFERROR(__xludf.DUMMYFUNCTION("regexreplace(lower(C1088), ""_"", """")"),"dischargesepticemiaorganismcode2")</f>
        <v>dischargesepticemiaorganismcode2</v>
      </c>
      <c r="J1088" s="9" t="b">
        <f t="shared" si="2"/>
        <v>1</v>
      </c>
      <c r="K1088" s="7" t="str">
        <f>IFERROR(__xludf.DUMMYFUNCTION("regexreplace(G1088, ""_"", """")"),"dischargesepticemiaorganismcode2")</f>
        <v>dischargesepticemiaorganismcode2</v>
      </c>
      <c r="L1088" s="55" t="s">
        <v>4217</v>
      </c>
      <c r="M1088" s="55" t="s">
        <v>4218</v>
      </c>
    </row>
    <row r="1089">
      <c r="A1089" s="55"/>
      <c r="B1089" s="54" t="s">
        <v>987</v>
      </c>
      <c r="C1089" s="54" t="s">
        <v>4219</v>
      </c>
      <c r="D1089" s="54" t="s">
        <v>1006</v>
      </c>
      <c r="E1089" s="55" t="s">
        <v>4220</v>
      </c>
      <c r="F1089" s="57">
        <f t="shared" si="53"/>
        <v>2</v>
      </c>
      <c r="G1089" s="54" t="s">
        <v>4221</v>
      </c>
      <c r="H1089" s="55"/>
      <c r="I1089" s="7" t="str">
        <f>IFERROR(__xludf.DUMMYFUNCTION("regexreplace(lower(C1089), ""_"", """")"),"dischargesepticemiaorganismcode3")</f>
        <v>dischargesepticemiaorganismcode3</v>
      </c>
      <c r="J1089" s="9" t="b">
        <f t="shared" si="2"/>
        <v>1</v>
      </c>
      <c r="K1089" s="7" t="str">
        <f>IFERROR(__xludf.DUMMYFUNCTION("regexreplace(G1089, ""_"", """")"),"dischargesepticemiaorganismcode3")</f>
        <v>dischargesepticemiaorganismcode3</v>
      </c>
      <c r="L1089" s="55" t="s">
        <v>4222</v>
      </c>
      <c r="M1089" s="55" t="s">
        <v>4223</v>
      </c>
    </row>
    <row r="1090">
      <c r="A1090" s="55"/>
      <c r="B1090" s="54" t="s">
        <v>987</v>
      </c>
      <c r="C1090" s="54" t="s">
        <v>4224</v>
      </c>
      <c r="D1090" s="54" t="s">
        <v>43</v>
      </c>
      <c r="E1090" s="55" t="s">
        <v>4225</v>
      </c>
      <c r="F1090" s="57">
        <f t="shared" si="53"/>
        <v>2</v>
      </c>
      <c r="G1090" s="54" t="s">
        <v>4226</v>
      </c>
      <c r="H1090" s="55"/>
      <c r="I1090" s="7" t="str">
        <f>IFERROR(__xludf.DUMMYFUNCTION("regexreplace(lower(C1090), ""_"", """")"),"dischargemeningitisencephalitis")</f>
        <v>dischargemeningitisencephalitis</v>
      </c>
      <c r="J1090" s="9" t="b">
        <f t="shared" si="2"/>
        <v>1</v>
      </c>
      <c r="K1090" s="7" t="str">
        <f>IFERROR(__xludf.DUMMYFUNCTION("regexreplace(G1090, ""_"", """")"),"dischargemeningitisencephalitis")</f>
        <v>dischargemeningitisencephalitis</v>
      </c>
      <c r="L1090" s="55" t="s">
        <v>4227</v>
      </c>
      <c r="M1090" s="55" t="s">
        <v>4228</v>
      </c>
    </row>
    <row r="1091">
      <c r="A1091" s="55"/>
      <c r="B1091" s="54" t="s">
        <v>987</v>
      </c>
      <c r="C1091" s="54" t="s">
        <v>4229</v>
      </c>
      <c r="D1091" s="54" t="s">
        <v>1006</v>
      </c>
      <c r="E1091" s="55" t="s">
        <v>4230</v>
      </c>
      <c r="F1091" s="57">
        <f t="shared" si="53"/>
        <v>2</v>
      </c>
      <c r="G1091" s="54" t="s">
        <v>4231</v>
      </c>
      <c r="H1091" s="55"/>
      <c r="I1091" s="7" t="str">
        <f>IFERROR(__xludf.DUMMYFUNCTION("regexreplace(lower(C1091), ""_"", """")"),"dischargemeningitisorganismcode1")</f>
        <v>dischargemeningitisorganismcode1</v>
      </c>
      <c r="J1091" s="9" t="b">
        <f t="shared" si="2"/>
        <v>1</v>
      </c>
      <c r="K1091" s="7" t="str">
        <f>IFERROR(__xludf.DUMMYFUNCTION("regexreplace(G1091, ""_"", """")"),"dischargemeningitisorganismcode1")</f>
        <v>dischargemeningitisorganismcode1</v>
      </c>
      <c r="L1091" s="55" t="s">
        <v>4232</v>
      </c>
      <c r="M1091" s="55" t="s">
        <v>4233</v>
      </c>
    </row>
    <row r="1092">
      <c r="A1092" s="55"/>
      <c r="B1092" s="54" t="s">
        <v>987</v>
      </c>
      <c r="C1092" s="54" t="s">
        <v>4234</v>
      </c>
      <c r="D1092" s="54" t="s">
        <v>1006</v>
      </c>
      <c r="E1092" s="55" t="s">
        <v>4235</v>
      </c>
      <c r="F1092" s="57">
        <f t="shared" si="53"/>
        <v>2</v>
      </c>
      <c r="G1092" s="54" t="s">
        <v>4236</v>
      </c>
      <c r="H1092" s="55"/>
      <c r="I1092" s="7" t="str">
        <f>IFERROR(__xludf.DUMMYFUNCTION("regexreplace(lower(C1092), ""_"", """")"),"dischargemeningitisorganismcode2")</f>
        <v>dischargemeningitisorganismcode2</v>
      </c>
      <c r="J1092" s="9" t="b">
        <f t="shared" si="2"/>
        <v>1</v>
      </c>
      <c r="K1092" s="7" t="str">
        <f>IFERROR(__xludf.DUMMYFUNCTION("regexreplace(G1092, ""_"", """")"),"dischargemeningitisorganismcode2")</f>
        <v>dischargemeningitisorganismcode2</v>
      </c>
      <c r="L1092" s="55" t="s">
        <v>4237</v>
      </c>
      <c r="M1092" s="55" t="s">
        <v>4238</v>
      </c>
    </row>
    <row r="1093">
      <c r="A1093" s="55"/>
      <c r="B1093" s="54" t="s">
        <v>987</v>
      </c>
      <c r="C1093" s="54" t="s">
        <v>4239</v>
      </c>
      <c r="D1093" s="54" t="s">
        <v>1006</v>
      </c>
      <c r="E1093" s="55" t="s">
        <v>4240</v>
      </c>
      <c r="F1093" s="57">
        <f t="shared" si="53"/>
        <v>2</v>
      </c>
      <c r="G1093" s="54" t="s">
        <v>4241</v>
      </c>
      <c r="H1093" s="55"/>
      <c r="I1093" s="7" t="str">
        <f>IFERROR(__xludf.DUMMYFUNCTION("regexreplace(lower(C1093), ""_"", """")"),"dischargemeningitisorganismcode3")</f>
        <v>dischargemeningitisorganismcode3</v>
      </c>
      <c r="J1093" s="9" t="b">
        <f t="shared" si="2"/>
        <v>1</v>
      </c>
      <c r="K1093" s="7" t="str">
        <f>IFERROR(__xludf.DUMMYFUNCTION("regexreplace(G1093, ""_"", """")"),"dischargemeningitisorganismcode3")</f>
        <v>dischargemeningitisorganismcode3</v>
      </c>
      <c r="L1093" s="55" t="s">
        <v>4242</v>
      </c>
      <c r="M1093" s="55" t="s">
        <v>4243</v>
      </c>
    </row>
    <row r="1094">
      <c r="A1094" s="12"/>
      <c r="B1094" s="12"/>
      <c r="C1094" s="13"/>
      <c r="D1094" s="12"/>
      <c r="E1094" s="12"/>
      <c r="F1094" s="12"/>
      <c r="G1094" s="12" t="s">
        <v>913</v>
      </c>
      <c r="H1094" s="12"/>
      <c r="I1094" s="7" t="str">
        <f>IFERROR(__xludf.DUMMYFUNCTION("regexreplace(lower(C1094), ""_"", """")"),"")</f>
        <v/>
      </c>
      <c r="J1094" s="9" t="str">
        <f t="shared" si="2"/>
        <v/>
      </c>
      <c r="K1094" s="7" t="str">
        <f>IFERROR(__xludf.DUMMYFUNCTION("regexreplace(G1094, ""_"", """")"),"")</f>
        <v/>
      </c>
      <c r="L1094" s="12"/>
      <c r="M1094" s="12"/>
    </row>
    <row r="1095">
      <c r="A1095" s="54" t="s">
        <v>3778</v>
      </c>
      <c r="B1095" s="63" t="s">
        <v>1210</v>
      </c>
      <c r="C1095" s="54" t="s">
        <v>4244</v>
      </c>
      <c r="D1095" s="54" t="s">
        <v>43</v>
      </c>
      <c r="E1095" s="55" t="s">
        <v>2844</v>
      </c>
      <c r="F1095" s="57">
        <f t="shared" ref="F1095:F1127" si="54">counta(L1095:M1095)</f>
        <v>1</v>
      </c>
      <c r="G1095" s="54" t="s">
        <v>4245</v>
      </c>
      <c r="H1095" s="55"/>
      <c r="I1095" s="7" t="str">
        <f>IFERROR(__xludf.DUMMYFUNCTION("regexreplace(lower(C1095), ""_"", """")"),"dischargeneuroexam")</f>
        <v>dischargeneuroexam</v>
      </c>
      <c r="J1095" s="9" t="b">
        <f t="shared" si="2"/>
        <v>1</v>
      </c>
      <c r="K1095" s="7" t="str">
        <f>IFERROR(__xludf.DUMMYFUNCTION("regexreplace(G1095, ""_"", """")"),"dischargeneuroexam")</f>
        <v>dischargeneuroexam</v>
      </c>
      <c r="L1095" s="55"/>
      <c r="M1095" s="55" t="s">
        <v>2846</v>
      </c>
    </row>
    <row r="1096">
      <c r="A1096" s="55"/>
      <c r="B1096" s="63" t="s">
        <v>1210</v>
      </c>
      <c r="C1096" s="54" t="s">
        <v>4246</v>
      </c>
      <c r="D1096" s="54" t="s">
        <v>4246</v>
      </c>
      <c r="E1096" s="55" t="s">
        <v>4247</v>
      </c>
      <c r="F1096" s="57">
        <f t="shared" si="54"/>
        <v>1</v>
      </c>
      <c r="G1096" s="54" t="s">
        <v>4248</v>
      </c>
      <c r="H1096" s="55"/>
      <c r="I1096" s="7" t="str">
        <f>IFERROR(__xludf.DUMMYFUNCTION("regexreplace(lower(C1096), ""_"", """")"),"dischargeneuroexamstatus")</f>
        <v>dischargeneuroexamstatus</v>
      </c>
      <c r="J1096" s="9" t="b">
        <f t="shared" si="2"/>
        <v>1</v>
      </c>
      <c r="K1096" s="7" t="str">
        <f>IFERROR(__xludf.DUMMYFUNCTION("regexreplace(G1096, ""_"", """")"),"dischargeneuroexamstatus")</f>
        <v>dischargeneuroexamstatus</v>
      </c>
      <c r="L1096" s="55"/>
      <c r="M1096" s="55" t="s">
        <v>4249</v>
      </c>
    </row>
    <row r="1097">
      <c r="A1097" s="55"/>
      <c r="B1097" s="63" t="s">
        <v>1210</v>
      </c>
      <c r="C1097" s="54" t="s">
        <v>4250</v>
      </c>
      <c r="D1097" s="54" t="s">
        <v>29</v>
      </c>
      <c r="E1097" s="64" t="s">
        <v>4251</v>
      </c>
      <c r="F1097" s="57">
        <f t="shared" si="54"/>
        <v>2</v>
      </c>
      <c r="G1097" s="54" t="s">
        <v>4252</v>
      </c>
      <c r="H1097" s="55"/>
      <c r="I1097" s="7" t="str">
        <f>IFERROR(__xludf.DUMMYFUNCTION("regexreplace(lower(C1097), ""_"", """")"),"dischargeneuroexamdate")</f>
        <v>dischargeneuroexamdate</v>
      </c>
      <c r="J1097" s="9" t="b">
        <f t="shared" si="2"/>
        <v>1</v>
      </c>
      <c r="K1097" s="7" t="str">
        <f>IFERROR(__xludf.DUMMYFUNCTION("regexreplace(G1097, ""_"", """")"),"dischargeneuroexamdate")</f>
        <v>dischargeneuroexamdate</v>
      </c>
      <c r="L1097" s="65" t="s">
        <v>4253</v>
      </c>
      <c r="M1097" s="55" t="s">
        <v>2851</v>
      </c>
    </row>
    <row r="1098">
      <c r="A1098" s="55"/>
      <c r="B1098" s="63" t="s">
        <v>1210</v>
      </c>
      <c r="C1098" s="54" t="s">
        <v>4254</v>
      </c>
      <c r="D1098" s="54" t="s">
        <v>148</v>
      </c>
      <c r="E1098" s="64" t="s">
        <v>4255</v>
      </c>
      <c r="F1098" s="57">
        <f t="shared" si="54"/>
        <v>2</v>
      </c>
      <c r="G1098" s="54" t="s">
        <v>4256</v>
      </c>
      <c r="H1098" s="55"/>
      <c r="I1098" s="7" t="str">
        <f>IFERROR(__xludf.DUMMYFUNCTION("regexreplace(lower(C1098), ""_"", """")"),"dischargeneuroexamtime")</f>
        <v>dischargeneuroexamtime</v>
      </c>
      <c r="J1098" s="9" t="b">
        <f t="shared" si="2"/>
        <v>1</v>
      </c>
      <c r="K1098" s="7" t="str">
        <f>IFERROR(__xludf.DUMMYFUNCTION("regexreplace(G1098, ""_"", """")"),"dischargeneuroexamtime")</f>
        <v>dischargeneuroexamtime</v>
      </c>
      <c r="L1098" s="65" t="s">
        <v>4257</v>
      </c>
      <c r="M1098" s="55" t="s">
        <v>2856</v>
      </c>
    </row>
    <row r="1099">
      <c r="A1099" s="55"/>
      <c r="B1099" s="63" t="s">
        <v>1210</v>
      </c>
      <c r="C1099" s="54" t="s">
        <v>4258</v>
      </c>
      <c r="D1099" s="54" t="s">
        <v>1228</v>
      </c>
      <c r="E1099" s="65" t="s">
        <v>4259</v>
      </c>
      <c r="F1099" s="57">
        <f t="shared" si="54"/>
        <v>2</v>
      </c>
      <c r="G1099" s="54" t="s">
        <v>4260</v>
      </c>
      <c r="H1099" s="55"/>
      <c r="I1099" s="7" t="str">
        <f>IFERROR(__xludf.DUMMYFUNCTION("regexreplace(lower(C1099), ""_"", """")"),"dischargeneuroexamlevelconsciousness")</f>
        <v>dischargeneuroexamlevelconsciousness</v>
      </c>
      <c r="J1099" s="9" t="b">
        <f t="shared" si="2"/>
        <v>1</v>
      </c>
      <c r="K1099" s="7" t="str">
        <f>IFERROR(__xludf.DUMMYFUNCTION("regexreplace(G1099, ""_"", """")"),"dischargeneuroexamlevelconsciousness")</f>
        <v>dischargeneuroexamlevelconsciousness</v>
      </c>
      <c r="L1099" s="65" t="s">
        <v>4261</v>
      </c>
      <c r="M1099" s="55" t="s">
        <v>2861</v>
      </c>
    </row>
    <row r="1100">
      <c r="A1100" s="55"/>
      <c r="B1100" s="63" t="s">
        <v>1210</v>
      </c>
      <c r="C1100" s="54" t="s">
        <v>4262</v>
      </c>
      <c r="D1100" s="54" t="s">
        <v>1234</v>
      </c>
      <c r="E1100" s="65" t="s">
        <v>4263</v>
      </c>
      <c r="F1100" s="57">
        <f t="shared" si="54"/>
        <v>2</v>
      </c>
      <c r="G1100" s="54" t="s">
        <v>4264</v>
      </c>
      <c r="H1100" s="55"/>
      <c r="I1100" s="7" t="str">
        <f>IFERROR(__xludf.DUMMYFUNCTION("regexreplace(lower(C1100), ""_"", """")"),"dischargeneuroexamspontaneousactivity")</f>
        <v>dischargeneuroexamspontaneousactivity</v>
      </c>
      <c r="J1100" s="9" t="b">
        <f t="shared" si="2"/>
        <v>1</v>
      </c>
      <c r="K1100" s="7" t="str">
        <f>IFERROR(__xludf.DUMMYFUNCTION("regexreplace(G1100, ""_"", """")"),"dischargeneuroexamspontaneousactivity")</f>
        <v>dischargeneuroexamspontaneousactivity</v>
      </c>
      <c r="L1100" s="65" t="s">
        <v>4265</v>
      </c>
      <c r="M1100" s="55" t="s">
        <v>2866</v>
      </c>
    </row>
    <row r="1101">
      <c r="A1101" s="55"/>
      <c r="B1101" s="63" t="s">
        <v>1210</v>
      </c>
      <c r="C1101" s="54" t="s">
        <v>4266</v>
      </c>
      <c r="D1101" s="54" t="s">
        <v>1240</v>
      </c>
      <c r="E1101" s="65" t="s">
        <v>4267</v>
      </c>
      <c r="F1101" s="57">
        <f t="shared" si="54"/>
        <v>2</v>
      </c>
      <c r="G1101" s="54" t="s">
        <v>4268</v>
      </c>
      <c r="H1101" s="55"/>
      <c r="I1101" s="7" t="str">
        <f>IFERROR(__xludf.DUMMYFUNCTION("regexreplace(lower(C1101), ""_"", """")"),"dischargeneuroexamposture")</f>
        <v>dischargeneuroexamposture</v>
      </c>
      <c r="J1101" s="9" t="b">
        <f t="shared" si="2"/>
        <v>1</v>
      </c>
      <c r="K1101" s="7" t="str">
        <f>IFERROR(__xludf.DUMMYFUNCTION("regexreplace(G1101, ""_"", """")"),"dischargeneuroexamposture")</f>
        <v>dischargeneuroexamposture</v>
      </c>
      <c r="L1101" s="65" t="s">
        <v>4269</v>
      </c>
      <c r="M1101" s="55" t="s">
        <v>2871</v>
      </c>
    </row>
    <row r="1102">
      <c r="A1102" s="55"/>
      <c r="B1102" s="63" t="s">
        <v>1210</v>
      </c>
      <c r="C1102" s="54" t="s">
        <v>4270</v>
      </c>
      <c r="D1102" s="54" t="s">
        <v>1246</v>
      </c>
      <c r="E1102" s="65" t="s">
        <v>4271</v>
      </c>
      <c r="F1102" s="57">
        <f t="shared" si="54"/>
        <v>2</v>
      </c>
      <c r="G1102" s="54" t="s">
        <v>4272</v>
      </c>
      <c r="H1102" s="55"/>
      <c r="I1102" s="7" t="str">
        <f>IFERROR(__xludf.DUMMYFUNCTION("regexreplace(lower(C1102), ""_"", """")"),"dischargeneuroexamtone")</f>
        <v>dischargeneuroexamtone</v>
      </c>
      <c r="J1102" s="9" t="b">
        <f t="shared" si="2"/>
        <v>1</v>
      </c>
      <c r="K1102" s="7" t="str">
        <f>IFERROR(__xludf.DUMMYFUNCTION("regexreplace(G1102, ""_"", """")"),"dischargeneuroexamtone")</f>
        <v>dischargeneuroexamtone</v>
      </c>
      <c r="L1102" s="65" t="s">
        <v>4273</v>
      </c>
      <c r="M1102" s="55" t="s">
        <v>2876</v>
      </c>
    </row>
    <row r="1103">
      <c r="A1103" s="55"/>
      <c r="B1103" s="63" t="s">
        <v>1210</v>
      </c>
      <c r="C1103" s="54" t="s">
        <v>4274</v>
      </c>
      <c r="D1103" s="54" t="s">
        <v>1252</v>
      </c>
      <c r="E1103" s="65" t="s">
        <v>4275</v>
      </c>
      <c r="F1103" s="57">
        <f t="shared" si="54"/>
        <v>2</v>
      </c>
      <c r="G1103" s="54" t="s">
        <v>4276</v>
      </c>
      <c r="H1103" s="55"/>
      <c r="I1103" s="7" t="str">
        <f>IFERROR(__xludf.DUMMYFUNCTION("regexreplace(lower(C1103), ""_"", """")"),"dischargeneuroexamsuck")</f>
        <v>dischargeneuroexamsuck</v>
      </c>
      <c r="J1103" s="9" t="b">
        <f t="shared" si="2"/>
        <v>1</v>
      </c>
      <c r="K1103" s="7" t="str">
        <f>IFERROR(__xludf.DUMMYFUNCTION("regexreplace(G1103, ""_"", """")"),"dischargeneuroexamsuck")</f>
        <v>dischargeneuroexamsuck</v>
      </c>
      <c r="L1103" s="65" t="s">
        <v>4277</v>
      </c>
      <c r="M1103" s="55" t="s">
        <v>2881</v>
      </c>
    </row>
    <row r="1104">
      <c r="A1104" s="55"/>
      <c r="B1104" s="63" t="s">
        <v>1210</v>
      </c>
      <c r="C1104" s="54" t="s">
        <v>4278</v>
      </c>
      <c r="D1104" s="54" t="s">
        <v>1258</v>
      </c>
      <c r="E1104" s="65" t="s">
        <v>4279</v>
      </c>
      <c r="F1104" s="57">
        <f t="shared" si="54"/>
        <v>2</v>
      </c>
      <c r="G1104" s="54" t="s">
        <v>4280</v>
      </c>
      <c r="H1104" s="55"/>
      <c r="I1104" s="7" t="str">
        <f>IFERROR(__xludf.DUMMYFUNCTION("regexreplace(lower(C1104), ""_"", """")"),"dischargeneuroexammoro")</f>
        <v>dischargeneuroexammoro</v>
      </c>
      <c r="J1104" s="9" t="b">
        <f t="shared" si="2"/>
        <v>1</v>
      </c>
      <c r="K1104" s="7" t="str">
        <f>IFERROR(__xludf.DUMMYFUNCTION("regexreplace(G1104, ""_"", """")"),"dischargeneuroexammoro")</f>
        <v>dischargeneuroexammoro</v>
      </c>
      <c r="L1104" s="65" t="s">
        <v>4281</v>
      </c>
      <c r="M1104" s="55" t="s">
        <v>2886</v>
      </c>
    </row>
    <row r="1105">
      <c r="A1105" s="55"/>
      <c r="B1105" s="63" t="s">
        <v>1210</v>
      </c>
      <c r="C1105" s="54" t="s">
        <v>4282</v>
      </c>
      <c r="D1105" s="54" t="s">
        <v>1264</v>
      </c>
      <c r="E1105" s="65" t="s">
        <v>4283</v>
      </c>
      <c r="F1105" s="57">
        <f t="shared" si="54"/>
        <v>2</v>
      </c>
      <c r="G1105" s="54" t="s">
        <v>4284</v>
      </c>
      <c r="H1105" s="55"/>
      <c r="I1105" s="7" t="str">
        <f>IFERROR(__xludf.DUMMYFUNCTION("regexreplace(lower(C1105), ""_"", """")"),"dischargeneuroexampupils")</f>
        <v>dischargeneuroexampupils</v>
      </c>
      <c r="J1105" s="9" t="b">
        <f t="shared" si="2"/>
        <v>1</v>
      </c>
      <c r="K1105" s="7" t="str">
        <f>IFERROR(__xludf.DUMMYFUNCTION("regexreplace(G1105, ""_"", """")"),"dischargeneuroexampupils")</f>
        <v>dischargeneuroexampupils</v>
      </c>
      <c r="L1105" s="65" t="s">
        <v>4285</v>
      </c>
      <c r="M1105" s="55" t="s">
        <v>2891</v>
      </c>
    </row>
    <row r="1106">
      <c r="A1106" s="55"/>
      <c r="B1106" s="63" t="s">
        <v>1210</v>
      </c>
      <c r="C1106" s="54" t="s">
        <v>4286</v>
      </c>
      <c r="D1106" s="54" t="s">
        <v>1270</v>
      </c>
      <c r="E1106" s="65" t="s">
        <v>4287</v>
      </c>
      <c r="F1106" s="57">
        <f t="shared" si="54"/>
        <v>2</v>
      </c>
      <c r="G1106" s="54" t="s">
        <v>4288</v>
      </c>
      <c r="H1106" s="55"/>
      <c r="I1106" s="7" t="str">
        <f>IFERROR(__xludf.DUMMYFUNCTION("regexreplace(lower(C1106), ""_"", """")"),"dischargeneuroexamheartrate")</f>
        <v>dischargeneuroexamheartrate</v>
      </c>
      <c r="J1106" s="9" t="b">
        <f t="shared" si="2"/>
        <v>1</v>
      </c>
      <c r="K1106" s="7" t="str">
        <f>IFERROR(__xludf.DUMMYFUNCTION("regexreplace(G1106, ""_"", """")"),"dischargeneuroexamheartrate")</f>
        <v>dischargeneuroexamheartrate</v>
      </c>
      <c r="L1106" s="65" t="s">
        <v>4289</v>
      </c>
      <c r="M1106" s="55" t="s">
        <v>2896</v>
      </c>
    </row>
    <row r="1107">
      <c r="A1107" s="55"/>
      <c r="B1107" s="63" t="s">
        <v>1210</v>
      </c>
      <c r="C1107" s="54" t="s">
        <v>4290</v>
      </c>
      <c r="D1107" s="54" t="s">
        <v>1276</v>
      </c>
      <c r="E1107" s="66" t="s">
        <v>4291</v>
      </c>
      <c r="F1107" s="57">
        <f t="shared" si="54"/>
        <v>2</v>
      </c>
      <c r="G1107" s="54" t="s">
        <v>4292</v>
      </c>
      <c r="H1107" s="55"/>
      <c r="I1107" s="7" t="str">
        <f>IFERROR(__xludf.DUMMYFUNCTION("regexreplace(lower(C1107), ""_"", """")"),"dischargeneuroexamrespiration")</f>
        <v>dischargeneuroexamrespiration</v>
      </c>
      <c r="J1107" s="9" t="b">
        <f t="shared" si="2"/>
        <v>1</v>
      </c>
      <c r="K1107" s="7" t="str">
        <f>IFERROR(__xludf.DUMMYFUNCTION("regexreplace(G1107, ""_"", """")"),"dischargeneuroexamrespiration")</f>
        <v>dischargeneuroexamrespiration</v>
      </c>
      <c r="L1107" s="66" t="s">
        <v>4293</v>
      </c>
      <c r="M1107" s="55" t="s">
        <v>2901</v>
      </c>
    </row>
    <row r="1108">
      <c r="A1108" s="55"/>
      <c r="B1108" s="63" t="s">
        <v>1210</v>
      </c>
      <c r="C1108" s="54" t="s">
        <v>4294</v>
      </c>
      <c r="D1108" s="54" t="s">
        <v>43</v>
      </c>
      <c r="E1108" s="65" t="s">
        <v>4295</v>
      </c>
      <c r="F1108" s="57">
        <f t="shared" si="54"/>
        <v>2</v>
      </c>
      <c r="G1108" s="54" t="s">
        <v>4296</v>
      </c>
      <c r="H1108" s="55"/>
      <c r="I1108" s="7" t="str">
        <f>IFERROR(__xludf.DUMMYFUNCTION("regexreplace(lower(C1108), ""_"", """")"),"dischargeneuroexamseizure")</f>
        <v>dischargeneuroexamseizure</v>
      </c>
      <c r="J1108" s="9" t="b">
        <f t="shared" si="2"/>
        <v>1</v>
      </c>
      <c r="K1108" s="7" t="str">
        <f>IFERROR(__xludf.DUMMYFUNCTION("regexreplace(G1108, ""_"", """")"),"dischargeneuroexamseizure")</f>
        <v>dischargeneuroexamseizure</v>
      </c>
      <c r="L1108" s="65" t="s">
        <v>4297</v>
      </c>
      <c r="M1108" s="55" t="s">
        <v>2906</v>
      </c>
    </row>
    <row r="1109">
      <c r="A1109" s="55"/>
      <c r="B1109" s="63" t="s">
        <v>1210</v>
      </c>
      <c r="C1109" s="54" t="s">
        <v>4298</v>
      </c>
      <c r="D1109" s="54" t="s">
        <v>43</v>
      </c>
      <c r="E1109" s="65" t="s">
        <v>4299</v>
      </c>
      <c r="F1109" s="57">
        <f t="shared" si="54"/>
        <v>2</v>
      </c>
      <c r="G1109" s="54" t="s">
        <v>4300</v>
      </c>
      <c r="H1109" s="55"/>
      <c r="I1109" s="7" t="str">
        <f>IFERROR(__xludf.DUMMYFUNCTION("regexreplace(lower(C1109), ""_"", """")"),"dischargeneuroexamclonussustained")</f>
        <v>dischargeneuroexamclonussustained</v>
      </c>
      <c r="J1109" s="9" t="b">
        <f t="shared" si="2"/>
        <v>1</v>
      </c>
      <c r="K1109" s="7" t="str">
        <f>IFERROR(__xludf.DUMMYFUNCTION("regexreplace(G1109, ""_"", """")"),"dischargeneuroexamclonussustained")</f>
        <v>dischargeneuroexamclonussustained</v>
      </c>
      <c r="L1109" s="65" t="s">
        <v>4301</v>
      </c>
      <c r="M1109" s="55" t="s">
        <v>2916</v>
      </c>
    </row>
    <row r="1110">
      <c r="A1110" s="55"/>
      <c r="B1110" s="63" t="s">
        <v>1210</v>
      </c>
      <c r="C1110" s="54" t="s">
        <v>4302</v>
      </c>
      <c r="D1110" s="54" t="s">
        <v>43</v>
      </c>
      <c r="E1110" s="65" t="s">
        <v>4303</v>
      </c>
      <c r="F1110" s="57">
        <f t="shared" si="54"/>
        <v>2</v>
      </c>
      <c r="G1110" s="54" t="s">
        <v>4304</v>
      </c>
      <c r="H1110" s="55"/>
      <c r="I1110" s="7" t="str">
        <f>IFERROR(__xludf.DUMMYFUNCTION("regexreplace(lower(C1110), ""_"", """")"),"dischargeneuroexamfistedhand")</f>
        <v>dischargeneuroexamfistedhand</v>
      </c>
      <c r="J1110" s="9" t="b">
        <f t="shared" si="2"/>
        <v>1</v>
      </c>
      <c r="K1110" s="7" t="str">
        <f>IFERROR(__xludf.DUMMYFUNCTION("regexreplace(G1110, ""_"", """")"),"dischargeneuroexamfistedhand")</f>
        <v>dischargeneuroexamfistedhand</v>
      </c>
      <c r="L1110" s="65" t="s">
        <v>4305</v>
      </c>
      <c r="M1110" s="55" t="s">
        <v>2921</v>
      </c>
    </row>
    <row r="1111">
      <c r="A1111" s="55"/>
      <c r="B1111" s="63" t="s">
        <v>1210</v>
      </c>
      <c r="C1111" s="54" t="s">
        <v>4306</v>
      </c>
      <c r="D1111" s="54" t="s">
        <v>43</v>
      </c>
      <c r="E1111" s="65" t="s">
        <v>4307</v>
      </c>
      <c r="F1111" s="57">
        <f t="shared" si="54"/>
        <v>2</v>
      </c>
      <c r="G1111" s="54" t="s">
        <v>4308</v>
      </c>
      <c r="H1111" s="55"/>
      <c r="I1111" s="7" t="str">
        <f>IFERROR(__xludf.DUMMYFUNCTION("regexreplace(lower(C1111), ""_"", """")"),"dischargeneuroexamabnormalmovement")</f>
        <v>dischargeneuroexamabnormalmovement</v>
      </c>
      <c r="J1111" s="9" t="b">
        <f t="shared" si="2"/>
        <v>1</v>
      </c>
      <c r="K1111" s="7" t="str">
        <f>IFERROR(__xludf.DUMMYFUNCTION("regexreplace(G1111, ""_"", """")"),"dischargeneuroexamabnormalmovement")</f>
        <v>dischargeneuroexamabnormalmovement</v>
      </c>
      <c r="L1111" s="65" t="s">
        <v>4309</v>
      </c>
      <c r="M1111" s="55" t="s">
        <v>2926</v>
      </c>
    </row>
    <row r="1112">
      <c r="A1112" s="55"/>
      <c r="B1112" s="63" t="s">
        <v>1210</v>
      </c>
      <c r="C1112" s="54" t="s">
        <v>4310</v>
      </c>
      <c r="D1112" s="54" t="s">
        <v>43</v>
      </c>
      <c r="E1112" s="65" t="s">
        <v>4311</v>
      </c>
      <c r="F1112" s="57">
        <f t="shared" si="54"/>
        <v>2</v>
      </c>
      <c r="G1112" s="54" t="s">
        <v>4312</v>
      </c>
      <c r="H1112" s="55"/>
      <c r="I1112" s="7" t="str">
        <f>IFERROR(__xludf.DUMMYFUNCTION("regexreplace(lower(C1112), ""_"", """")"),"dischargeneuroexamgagreflexabsent")</f>
        <v>dischargeneuroexamgagreflexabsent</v>
      </c>
      <c r="J1112" s="9" t="b">
        <f t="shared" si="2"/>
        <v>1</v>
      </c>
      <c r="K1112" s="7" t="str">
        <f>IFERROR(__xludf.DUMMYFUNCTION("regexreplace(G1112, ""_"", """")"),"dischargeneuroexamgagreflexabsent")</f>
        <v>dischargeneuroexamgagreflexabsent</v>
      </c>
      <c r="L1112" s="65" t="s">
        <v>4313</v>
      </c>
      <c r="M1112" s="55" t="s">
        <v>2931</v>
      </c>
    </row>
    <row r="1113">
      <c r="A1113" s="55"/>
      <c r="B1113" s="63" t="s">
        <v>1210</v>
      </c>
      <c r="C1113" s="54" t="s">
        <v>4314</v>
      </c>
      <c r="D1113" s="54" t="s">
        <v>43</v>
      </c>
      <c r="E1113" s="65" t="s">
        <v>4315</v>
      </c>
      <c r="F1113" s="57">
        <f t="shared" si="54"/>
        <v>1</v>
      </c>
      <c r="G1113" s="54" t="s">
        <v>4316</v>
      </c>
      <c r="H1113" s="55"/>
      <c r="I1113" s="7" t="str">
        <f>IFERROR(__xludf.DUMMYFUNCTION("regexreplace(lower(C1113), ""_"", """")"),"dischargeneuroexamsedate")</f>
        <v>dischargeneuroexamsedate</v>
      </c>
      <c r="J1113" s="9" t="b">
        <f t="shared" si="2"/>
        <v>1</v>
      </c>
      <c r="K1113" s="7" t="str">
        <f>IFERROR(__xludf.DUMMYFUNCTION("regexreplace(G1113, ""_"", """")"),"dischargeneuroexamsedate")</f>
        <v>dischargeneuroexamsedate</v>
      </c>
      <c r="L1113" s="55"/>
      <c r="M1113" s="55" t="s">
        <v>2911</v>
      </c>
    </row>
    <row r="1114">
      <c r="A1114" s="55"/>
      <c r="B1114" s="63" t="s">
        <v>1210</v>
      </c>
      <c r="C1114" s="54" t="s">
        <v>4317</v>
      </c>
      <c r="D1114" s="54" t="s">
        <v>43</v>
      </c>
      <c r="E1114" s="65" t="s">
        <v>4318</v>
      </c>
      <c r="F1114" s="57">
        <f t="shared" si="54"/>
        <v>1</v>
      </c>
      <c r="G1114" s="54" t="s">
        <v>4319</v>
      </c>
      <c r="H1114" s="55"/>
      <c r="I1114" s="7" t="str">
        <f>IFERROR(__xludf.DUMMYFUNCTION("regexreplace(lower(C1114), ""_"", """")"),"dischargeneuroexamhypertonia")</f>
        <v>dischargeneuroexamhypertonia</v>
      </c>
      <c r="J1114" s="9" t="b">
        <f t="shared" si="2"/>
        <v>1</v>
      </c>
      <c r="K1114" s="7" t="str">
        <f>IFERROR(__xludf.DUMMYFUNCTION("regexreplace(G1114, ""_"", """")"),"dischargeneuroexamhypertonia")</f>
        <v>dischargeneuroexamhypertonia</v>
      </c>
      <c r="L1114" s="65" t="s">
        <v>4320</v>
      </c>
      <c r="M1114" s="55"/>
    </row>
    <row r="1115">
      <c r="A1115" s="55"/>
      <c r="B1115" s="63" t="s">
        <v>1210</v>
      </c>
      <c r="C1115" s="62" t="s">
        <v>4321</v>
      </c>
      <c r="D1115" s="54" t="s">
        <v>43</v>
      </c>
      <c r="E1115" s="55" t="s">
        <v>4322</v>
      </c>
      <c r="F1115" s="57">
        <f t="shared" si="54"/>
        <v>1</v>
      </c>
      <c r="G1115" s="54" t="s">
        <v>4323</v>
      </c>
      <c r="H1115" s="55"/>
      <c r="I1115" s="7" t="str">
        <f>IFERROR(__xludf.DUMMYFUNCTION("regexreplace(lower(C1115), ""_"", """")"),"dischargeneuroexamasymtonicneckreflex")</f>
        <v>dischargeneuroexamasymtonicneckreflex</v>
      </c>
      <c r="J1115" s="9" t="b">
        <f t="shared" si="2"/>
        <v>1</v>
      </c>
      <c r="K1115" s="7" t="str">
        <f>IFERROR(__xludf.DUMMYFUNCTION("regexreplace(G1115, ""_"", """")"),"dischargeneuroexamasymtonicneckreflex")</f>
        <v>dischargeneuroexamasymtonicneckreflex</v>
      </c>
      <c r="L1115" s="55"/>
      <c r="M1115" s="55" t="s">
        <v>2938</v>
      </c>
    </row>
    <row r="1116">
      <c r="A1116" s="55"/>
      <c r="B1116" s="63" t="s">
        <v>1210</v>
      </c>
      <c r="C1116" s="54" t="s">
        <v>4324</v>
      </c>
      <c r="D1116" s="55" t="s">
        <v>34</v>
      </c>
      <c r="E1116" s="55"/>
      <c r="F1116" s="57">
        <f t="shared" si="54"/>
        <v>0</v>
      </c>
      <c r="G1116" s="54" t="s">
        <v>4325</v>
      </c>
      <c r="H1116" s="55"/>
      <c r="I1116" s="7" t="str">
        <f>IFERROR(__xludf.DUMMYFUNCTION("regexreplace(lower(C1116), ""_"", """")"),"dischargeneuroexamlevelconsciousnessscore")</f>
        <v>dischargeneuroexamlevelconsciousnessscore</v>
      </c>
      <c r="J1116" s="9" t="b">
        <f t="shared" si="2"/>
        <v>1</v>
      </c>
      <c r="K1116" s="7" t="str">
        <f>IFERROR(__xludf.DUMMYFUNCTION("regexreplace(G1116, ""_"", """")"),"dischargeneuroexamlevelconsciousnessscore")</f>
        <v>dischargeneuroexamlevelconsciousnessscore</v>
      </c>
      <c r="L1116" s="55"/>
      <c r="M1116" s="55"/>
    </row>
    <row r="1117">
      <c r="A1117" s="55"/>
      <c r="B1117" s="63" t="s">
        <v>1210</v>
      </c>
      <c r="C1117" s="54" t="s">
        <v>4326</v>
      </c>
      <c r="D1117" s="55" t="s">
        <v>34</v>
      </c>
      <c r="E1117" s="55"/>
      <c r="F1117" s="57">
        <f t="shared" si="54"/>
        <v>0</v>
      </c>
      <c r="G1117" s="54" t="s">
        <v>4327</v>
      </c>
      <c r="H1117" s="55"/>
      <c r="I1117" s="7" t="str">
        <f>IFERROR(__xludf.DUMMYFUNCTION("regexreplace(lower(C1117), ""_"", """")"),"dischargeneuroexamspontaneousactivityscore")</f>
        <v>dischargeneuroexamspontaneousactivityscore</v>
      </c>
      <c r="J1117" s="9" t="b">
        <f t="shared" si="2"/>
        <v>1</v>
      </c>
      <c r="K1117" s="7" t="str">
        <f>IFERROR(__xludf.DUMMYFUNCTION("regexreplace(G1117, ""_"", """")"),"dischargeneuroexamspontaneousactivityscore")</f>
        <v>dischargeneuroexamspontaneousactivityscore</v>
      </c>
      <c r="L1117" s="55"/>
      <c r="M1117" s="55"/>
    </row>
    <row r="1118">
      <c r="A1118" s="55"/>
      <c r="B1118" s="63" t="s">
        <v>1210</v>
      </c>
      <c r="C1118" s="54" t="s">
        <v>4328</v>
      </c>
      <c r="D1118" s="55" t="s">
        <v>34</v>
      </c>
      <c r="E1118" s="55"/>
      <c r="F1118" s="57">
        <f t="shared" si="54"/>
        <v>0</v>
      </c>
      <c r="G1118" s="54" t="s">
        <v>4329</v>
      </c>
      <c r="H1118" s="55"/>
      <c r="I1118" s="7" t="str">
        <f>IFERROR(__xludf.DUMMYFUNCTION("regexreplace(lower(C1118), ""_"", """")"),"dischargeneuroexamposturescore")</f>
        <v>dischargeneuroexamposturescore</v>
      </c>
      <c r="J1118" s="9" t="b">
        <f t="shared" si="2"/>
        <v>1</v>
      </c>
      <c r="K1118" s="7" t="str">
        <f>IFERROR(__xludf.DUMMYFUNCTION("regexreplace(G1118, ""_"", """")"),"dischargeneuroexamposturescore")</f>
        <v>dischargeneuroexamposturescore</v>
      </c>
      <c r="L1118" s="55"/>
      <c r="M1118" s="55"/>
    </row>
    <row r="1119">
      <c r="A1119" s="55"/>
      <c r="B1119" s="63" t="s">
        <v>1210</v>
      </c>
      <c r="C1119" s="54" t="s">
        <v>4330</v>
      </c>
      <c r="D1119" s="55" t="s">
        <v>34</v>
      </c>
      <c r="E1119" s="55"/>
      <c r="F1119" s="57">
        <f t="shared" si="54"/>
        <v>0</v>
      </c>
      <c r="G1119" s="54" t="s">
        <v>4331</v>
      </c>
      <c r="H1119" s="55"/>
      <c r="I1119" s="7" t="str">
        <f>IFERROR(__xludf.DUMMYFUNCTION("regexreplace(lower(C1119), ""_"", """")"),"dischargeneuroexamtonescore")</f>
        <v>dischargeneuroexamtonescore</v>
      </c>
      <c r="J1119" s="9" t="b">
        <f t="shared" si="2"/>
        <v>1</v>
      </c>
      <c r="K1119" s="7" t="str">
        <f>IFERROR(__xludf.DUMMYFUNCTION("regexreplace(G1119, ""_"", """")"),"dischargeneuroexamtonescore")</f>
        <v>dischargeneuroexamtonescore</v>
      </c>
      <c r="L1119" s="55"/>
      <c r="M1119" s="55"/>
    </row>
    <row r="1120">
      <c r="A1120" s="55"/>
      <c r="B1120" s="63" t="s">
        <v>1210</v>
      </c>
      <c r="C1120" s="54" t="s">
        <v>4332</v>
      </c>
      <c r="D1120" s="55" t="s">
        <v>34</v>
      </c>
      <c r="E1120" s="55"/>
      <c r="F1120" s="57">
        <f t="shared" si="54"/>
        <v>0</v>
      </c>
      <c r="G1120" s="54" t="s">
        <v>4333</v>
      </c>
      <c r="H1120" s="55"/>
      <c r="I1120" s="7" t="str">
        <f>IFERROR(__xludf.DUMMYFUNCTION("regexreplace(lower(C1120), ""_"", """")"),"dischargeneuroexamsuckscore")</f>
        <v>dischargeneuroexamsuckscore</v>
      </c>
      <c r="J1120" s="9" t="b">
        <f t="shared" si="2"/>
        <v>1</v>
      </c>
      <c r="K1120" s="7" t="str">
        <f>IFERROR(__xludf.DUMMYFUNCTION("regexreplace(G1120, ""_"", """")"),"dischargeneuroexamsuckscore")</f>
        <v>dischargeneuroexamsuckscore</v>
      </c>
      <c r="L1120" s="55"/>
      <c r="M1120" s="55"/>
    </row>
    <row r="1121">
      <c r="A1121" s="55"/>
      <c r="B1121" s="63" t="s">
        <v>1210</v>
      </c>
      <c r="C1121" s="54" t="s">
        <v>4334</v>
      </c>
      <c r="D1121" s="55" t="s">
        <v>34</v>
      </c>
      <c r="E1121" s="55"/>
      <c r="F1121" s="57">
        <f t="shared" si="54"/>
        <v>0</v>
      </c>
      <c r="G1121" s="54" t="s">
        <v>4335</v>
      </c>
      <c r="H1121" s="55"/>
      <c r="I1121" s="7" t="str">
        <f>IFERROR(__xludf.DUMMYFUNCTION("regexreplace(lower(C1121), ""_"", """")"),"dischargeneuroexammoroscore")</f>
        <v>dischargeneuroexammoroscore</v>
      </c>
      <c r="J1121" s="9" t="b">
        <f t="shared" si="2"/>
        <v>1</v>
      </c>
      <c r="K1121" s="7" t="str">
        <f>IFERROR(__xludf.DUMMYFUNCTION("regexreplace(G1121, ""_"", """")"),"dischargeneuroexammoroscore")</f>
        <v>dischargeneuroexammoroscore</v>
      </c>
      <c r="L1121" s="55"/>
      <c r="M1121" s="55"/>
    </row>
    <row r="1122">
      <c r="A1122" s="55"/>
      <c r="B1122" s="63" t="s">
        <v>1210</v>
      </c>
      <c r="C1122" s="54" t="s">
        <v>4336</v>
      </c>
      <c r="D1122" s="55" t="s">
        <v>34</v>
      </c>
      <c r="E1122" s="55"/>
      <c r="F1122" s="57">
        <f t="shared" si="54"/>
        <v>0</v>
      </c>
      <c r="G1122" s="54" t="s">
        <v>4337</v>
      </c>
      <c r="H1122" s="55"/>
      <c r="I1122" s="7" t="str">
        <f>IFERROR(__xludf.DUMMYFUNCTION("regexreplace(lower(C1122), ""_"", """")"),"dischargeneuroexampupilsscore")</f>
        <v>dischargeneuroexampupilsscore</v>
      </c>
      <c r="J1122" s="9" t="b">
        <f t="shared" si="2"/>
        <v>1</v>
      </c>
      <c r="K1122" s="7" t="str">
        <f>IFERROR(__xludf.DUMMYFUNCTION("regexreplace(G1122, ""_"", """")"),"dischargeneuroexampupilsscore")</f>
        <v>dischargeneuroexampupilsscore</v>
      </c>
      <c r="L1122" s="55"/>
      <c r="M1122" s="55"/>
    </row>
    <row r="1123">
      <c r="A1123" s="55"/>
      <c r="B1123" s="63" t="s">
        <v>1210</v>
      </c>
      <c r="C1123" s="54" t="s">
        <v>4338</v>
      </c>
      <c r="D1123" s="55" t="s">
        <v>34</v>
      </c>
      <c r="E1123" s="55"/>
      <c r="F1123" s="57">
        <f t="shared" si="54"/>
        <v>0</v>
      </c>
      <c r="G1123" s="54" t="s">
        <v>4339</v>
      </c>
      <c r="H1123" s="55"/>
      <c r="I1123" s="7" t="str">
        <f>IFERROR(__xludf.DUMMYFUNCTION("regexreplace(lower(C1123), ""_"", """")"),"dischargeneuroexamheartratescore")</f>
        <v>dischargeneuroexamheartratescore</v>
      </c>
      <c r="J1123" s="9" t="b">
        <f t="shared" si="2"/>
        <v>1</v>
      </c>
      <c r="K1123" s="7" t="str">
        <f>IFERROR(__xludf.DUMMYFUNCTION("regexreplace(G1123, ""_"", """")"),"dischargeneuroexamheartratescore")</f>
        <v>dischargeneuroexamheartratescore</v>
      </c>
      <c r="L1123" s="55"/>
      <c r="M1123" s="55"/>
    </row>
    <row r="1124">
      <c r="A1124" s="55"/>
      <c r="B1124" s="63" t="s">
        <v>1210</v>
      </c>
      <c r="C1124" s="54" t="s">
        <v>4340</v>
      </c>
      <c r="D1124" s="55" t="s">
        <v>34</v>
      </c>
      <c r="E1124" s="55"/>
      <c r="F1124" s="57">
        <f t="shared" si="54"/>
        <v>0</v>
      </c>
      <c r="G1124" s="54" t="s">
        <v>4341</v>
      </c>
      <c r="H1124" s="55"/>
      <c r="I1124" s="7" t="str">
        <f>IFERROR(__xludf.DUMMYFUNCTION("regexreplace(lower(C1124), ""_"", """")"),"dischargeneuroexamrespirationscore")</f>
        <v>dischargeneuroexamrespirationscore</v>
      </c>
      <c r="J1124" s="9" t="b">
        <f t="shared" si="2"/>
        <v>1</v>
      </c>
      <c r="K1124" s="7" t="str">
        <f>IFERROR(__xludf.DUMMYFUNCTION("regexreplace(G1124, ""_"", """")"),"dischargeneuroexamrespirationscore")</f>
        <v>dischargeneuroexamrespirationscore</v>
      </c>
      <c r="L1124" s="55"/>
      <c r="M1124" s="55"/>
    </row>
    <row r="1125">
      <c r="A1125" s="55"/>
      <c r="B1125" s="63" t="s">
        <v>1210</v>
      </c>
      <c r="C1125" s="54" t="s">
        <v>4342</v>
      </c>
      <c r="D1125" s="55" t="s">
        <v>34</v>
      </c>
      <c r="E1125" s="55"/>
      <c r="F1125" s="57">
        <f t="shared" si="54"/>
        <v>0</v>
      </c>
      <c r="G1125" s="54" t="s">
        <v>4343</v>
      </c>
      <c r="H1125" s="55"/>
      <c r="I1125" s="7" t="str">
        <f>IFERROR(__xludf.DUMMYFUNCTION("regexreplace(lower(C1125), ""_"", """")"),"dischargeneuroexamreflexscore")</f>
        <v>dischargeneuroexamreflexscore</v>
      </c>
      <c r="J1125" s="9" t="b">
        <f t="shared" si="2"/>
        <v>1</v>
      </c>
      <c r="K1125" s="7" t="str">
        <f>IFERROR(__xludf.DUMMYFUNCTION("regexreplace(G1125, ""_"", """")"),"dischargeneuroexamreflexscore")</f>
        <v>dischargeneuroexamreflexscore</v>
      </c>
      <c r="L1125" s="55"/>
      <c r="M1125" s="55"/>
    </row>
    <row r="1126">
      <c r="A1126" s="55"/>
      <c r="B1126" s="63" t="s">
        <v>1210</v>
      </c>
      <c r="C1126" s="54" t="s">
        <v>4344</v>
      </c>
      <c r="D1126" s="55" t="s">
        <v>34</v>
      </c>
      <c r="E1126" s="55"/>
      <c r="F1126" s="57">
        <f t="shared" si="54"/>
        <v>0</v>
      </c>
      <c r="G1126" s="54" t="s">
        <v>4345</v>
      </c>
      <c r="H1126" s="55"/>
      <c r="I1126" s="7" t="str">
        <f>IFERROR(__xludf.DUMMYFUNCTION("regexreplace(lower(C1126), ""_"", """")"),"dischargeneuroexamansscore")</f>
        <v>dischargeneuroexamansscore</v>
      </c>
      <c r="J1126" s="9" t="b">
        <f t="shared" si="2"/>
        <v>1</v>
      </c>
      <c r="K1126" s="7" t="str">
        <f>IFERROR(__xludf.DUMMYFUNCTION("regexreplace(G1126, ""_"", """")"),"dischargeneuroexamansscore")</f>
        <v>dischargeneuroexamansscore</v>
      </c>
      <c r="L1126" s="55"/>
      <c r="M1126" s="55"/>
    </row>
    <row r="1127">
      <c r="A1127" s="55"/>
      <c r="B1127" s="63" t="s">
        <v>1210</v>
      </c>
      <c r="C1127" s="54" t="s">
        <v>4346</v>
      </c>
      <c r="D1127" s="55" t="s">
        <v>34</v>
      </c>
      <c r="E1127" s="67" t="s">
        <v>4347</v>
      </c>
      <c r="F1127" s="57">
        <f t="shared" si="54"/>
        <v>0</v>
      </c>
      <c r="G1127" s="54" t="s">
        <v>4348</v>
      </c>
      <c r="H1127" s="55"/>
      <c r="I1127" s="7" t="str">
        <f>IFERROR(__xludf.DUMMYFUNCTION("regexreplace(lower(C1127), ""_"", """")"),"dischargetotalmodifiedsarnatscore")</f>
        <v>dischargetotalmodifiedsarnatscore</v>
      </c>
      <c r="J1127" s="9" t="b">
        <f t="shared" si="2"/>
        <v>1</v>
      </c>
      <c r="K1127" s="7" t="str">
        <f>IFERROR(__xludf.DUMMYFUNCTION("regexreplace(G1127, ""_"", """")"),"dischargetotalmodifiedsarnatscore")</f>
        <v>dischargetotalmodifiedsarnatscore</v>
      </c>
      <c r="L1127" s="55"/>
      <c r="M1127" s="55"/>
    </row>
    <row r="1128">
      <c r="A1128" s="13"/>
      <c r="B1128" s="13"/>
      <c r="C1128" s="13"/>
      <c r="D1128" s="13"/>
      <c r="E1128" s="12"/>
      <c r="F1128" s="14"/>
      <c r="G1128" s="13"/>
      <c r="H1128" s="12"/>
      <c r="I1128" s="7" t="str">
        <f>IFERROR(__xludf.DUMMYFUNCTION("regexreplace(lower(C1128), ""_"", """")"),"")</f>
        <v/>
      </c>
      <c r="J1128" s="9" t="str">
        <f t="shared" si="2"/>
        <v/>
      </c>
      <c r="K1128" s="7" t="str">
        <f>IFERROR(__xludf.DUMMYFUNCTION("regexreplace(G1128, ""_"", """")"),"")</f>
        <v/>
      </c>
      <c r="L1128" s="12"/>
      <c r="M1128" s="12"/>
    </row>
    <row r="1129">
      <c r="A1129" s="54" t="s">
        <v>3778</v>
      </c>
      <c r="B1129" s="54" t="s">
        <v>4349</v>
      </c>
      <c r="C1129" s="54" t="s">
        <v>4350</v>
      </c>
      <c r="D1129" s="54" t="s">
        <v>43</v>
      </c>
      <c r="E1129" s="55" t="s">
        <v>4351</v>
      </c>
      <c r="F1129" s="57">
        <f>counta(L1129:M1129)</f>
        <v>2</v>
      </c>
      <c r="G1129" s="54" t="s">
        <v>4352</v>
      </c>
      <c r="H1129" s="55"/>
      <c r="I1129" s="7" t="str">
        <f>IFERROR(__xludf.DUMMYFUNCTION("regexreplace(lower(C1129), ""_"", """")"),"dischargeseizure")</f>
        <v>dischargeseizure</v>
      </c>
      <c r="J1129" s="9" t="b">
        <f t="shared" si="2"/>
        <v>1</v>
      </c>
      <c r="K1129" s="7" t="str">
        <f>IFERROR(__xludf.DUMMYFUNCTION("regexreplace(G1129, ""_"", """")"),"dischargeseizure")</f>
        <v>dischargeseizure</v>
      </c>
      <c r="L1129" s="55" t="s">
        <v>4353</v>
      </c>
      <c r="M1129" s="55" t="s">
        <v>4354</v>
      </c>
    </row>
    <row r="1130">
      <c r="A1130" s="55"/>
      <c r="B1130" s="55"/>
      <c r="C1130" s="54"/>
      <c r="D1130" s="55"/>
      <c r="E1130" s="55"/>
      <c r="F1130" s="55"/>
      <c r="G1130" s="55"/>
      <c r="H1130" s="55"/>
      <c r="I1130" s="7" t="str">
        <f>IFERROR(__xludf.DUMMYFUNCTION("regexreplace(lower(C1130), ""_"", """")"),"")</f>
        <v/>
      </c>
      <c r="J1130" s="9" t="str">
        <f t="shared" si="2"/>
        <v/>
      </c>
      <c r="K1130" s="7" t="str">
        <f>IFERROR(__xludf.DUMMYFUNCTION("regexreplace(G1130, ""_"", """")"),"")</f>
        <v/>
      </c>
      <c r="L1130" s="60" t="s">
        <v>4355</v>
      </c>
      <c r="M1130" s="60" t="s">
        <v>4355</v>
      </c>
      <c r="N1130" s="61"/>
      <c r="O1130" s="61"/>
    </row>
    <row r="1131">
      <c r="A1131" s="55"/>
      <c r="B1131" s="54" t="s">
        <v>4349</v>
      </c>
      <c r="C1131" s="54" t="s">
        <v>4356</v>
      </c>
      <c r="D1131" s="54" t="s">
        <v>43</v>
      </c>
      <c r="E1131" s="55" t="s">
        <v>4357</v>
      </c>
      <c r="F1131" s="57">
        <f t="shared" ref="F1131:F1144" si="55">counta(L1131:M1131)</f>
        <v>2</v>
      </c>
      <c r="G1131" s="54" t="s">
        <v>4358</v>
      </c>
      <c r="H1131" s="55"/>
      <c r="I1131" s="7" t="str">
        <f>IFERROR(__xludf.DUMMYFUNCTION("regexreplace(lower(C1131), ""_"", """")"),"dischargeseizurepreintervention")</f>
        <v>dischargeseizurepreintervention</v>
      </c>
      <c r="J1131" s="9" t="b">
        <f t="shared" si="2"/>
        <v>1</v>
      </c>
      <c r="K1131" s="7" t="str">
        <f>IFERROR(__xludf.DUMMYFUNCTION("regexreplace(G1131, ""_"", """")"),"dischargeseizurepreintervention")</f>
        <v>dischargeseizurepreintervention</v>
      </c>
      <c r="L1131" s="55" t="s">
        <v>4359</v>
      </c>
      <c r="M1131" s="55" t="s">
        <v>4360</v>
      </c>
    </row>
    <row r="1132">
      <c r="A1132" s="55"/>
      <c r="B1132" s="54" t="s">
        <v>4349</v>
      </c>
      <c r="C1132" s="54" t="s">
        <v>4361</v>
      </c>
      <c r="D1132" s="54" t="s">
        <v>43</v>
      </c>
      <c r="E1132" s="55" t="s">
        <v>4362</v>
      </c>
      <c r="F1132" s="57">
        <f t="shared" si="55"/>
        <v>1</v>
      </c>
      <c r="G1132" s="54" t="s">
        <v>4363</v>
      </c>
      <c r="H1132" s="55"/>
      <c r="I1132" s="7" t="str">
        <f>IFERROR(__xludf.DUMMYFUNCTION("regexreplace(lower(C1132), ""_"", """")"),"dischargeseizureafterbaseline")</f>
        <v>dischargeseizureafterbaseline</v>
      </c>
      <c r="J1132" s="9" t="b">
        <f t="shared" si="2"/>
        <v>1</v>
      </c>
      <c r="K1132" s="7" t="str">
        <f>IFERROR(__xludf.DUMMYFUNCTION("regexreplace(G1132, ""_"", """")"),"dischargeseizureafterbaseline")</f>
        <v>dischargeseizureafterbaseline</v>
      </c>
      <c r="L1132" s="55"/>
      <c r="M1132" s="55" t="s">
        <v>4364</v>
      </c>
    </row>
    <row r="1133">
      <c r="A1133" s="55"/>
      <c r="B1133" s="54" t="s">
        <v>4349</v>
      </c>
      <c r="C1133" s="54" t="s">
        <v>4365</v>
      </c>
      <c r="D1133" s="54" t="s">
        <v>43</v>
      </c>
      <c r="E1133" s="55" t="s">
        <v>4366</v>
      </c>
      <c r="F1133" s="57">
        <f t="shared" si="55"/>
        <v>2</v>
      </c>
      <c r="G1133" s="54" t="s">
        <v>4367</v>
      </c>
      <c r="H1133" s="55"/>
      <c r="I1133" s="7" t="str">
        <f>IFERROR(__xludf.DUMMYFUNCTION("regexreplace(lower(C1133), ""_"", """")"),"dischargeseizuremaintenance")</f>
        <v>dischargeseizuremaintenance</v>
      </c>
      <c r="J1133" s="9" t="b">
        <f t="shared" si="2"/>
        <v>1</v>
      </c>
      <c r="K1133" s="7" t="str">
        <f>IFERROR(__xludf.DUMMYFUNCTION("regexreplace(G1133, ""_"", """")"),"dischargeseizuremaintenance")</f>
        <v>dischargeseizuremaintenance</v>
      </c>
      <c r="L1133" s="55" t="s">
        <v>4368</v>
      </c>
      <c r="M1133" s="55" t="s">
        <v>4369</v>
      </c>
    </row>
    <row r="1134">
      <c r="A1134" s="55"/>
      <c r="B1134" s="54" t="s">
        <v>4349</v>
      </c>
      <c r="C1134" s="54" t="s">
        <v>4370</v>
      </c>
      <c r="D1134" s="54" t="s">
        <v>43</v>
      </c>
      <c r="E1134" s="55" t="s">
        <v>4371</v>
      </c>
      <c r="F1134" s="57">
        <f t="shared" si="55"/>
        <v>2</v>
      </c>
      <c r="G1134" s="54" t="s">
        <v>4372</v>
      </c>
      <c r="H1134" s="55"/>
      <c r="I1134" s="7" t="str">
        <f>IFERROR(__xludf.DUMMYFUNCTION("regexreplace(lower(C1134), ""_"", """")"),"dischargeseizurerewarming")</f>
        <v>dischargeseizurerewarming</v>
      </c>
      <c r="J1134" s="9" t="b">
        <f t="shared" si="2"/>
        <v>1</v>
      </c>
      <c r="K1134" s="7" t="str">
        <f>IFERROR(__xludf.DUMMYFUNCTION("regexreplace(G1134, ""_"", """")"),"dischargeseizurerewarming")</f>
        <v>dischargeseizurerewarming</v>
      </c>
      <c r="L1134" s="55" t="s">
        <v>4373</v>
      </c>
      <c r="M1134" s="55" t="s">
        <v>4374</v>
      </c>
    </row>
    <row r="1135">
      <c r="A1135" s="55"/>
      <c r="B1135" s="54" t="s">
        <v>4349</v>
      </c>
      <c r="C1135" s="54" t="s">
        <v>4375</v>
      </c>
      <c r="D1135" s="54" t="s">
        <v>43</v>
      </c>
      <c r="E1135" s="55" t="s">
        <v>4376</v>
      </c>
      <c r="F1135" s="57">
        <f t="shared" si="55"/>
        <v>2</v>
      </c>
      <c r="G1135" s="54" t="s">
        <v>4377</v>
      </c>
      <c r="H1135" s="55"/>
      <c r="I1135" s="7" t="str">
        <f>IFERROR(__xludf.DUMMYFUNCTION("regexreplace(lower(C1135), ""_"", """")"),"dischargeseizurepostintervention")</f>
        <v>dischargeseizurepostintervention</v>
      </c>
      <c r="J1135" s="9" t="b">
        <f t="shared" si="2"/>
        <v>1</v>
      </c>
      <c r="K1135" s="7" t="str">
        <f>IFERROR(__xludf.DUMMYFUNCTION("regexreplace(G1135, ""_"", """")"),"dischargeseizurepostintervention")</f>
        <v>dischargeseizurepostintervention</v>
      </c>
      <c r="L1135" s="55" t="s">
        <v>4378</v>
      </c>
      <c r="M1135" s="55" t="s">
        <v>4379</v>
      </c>
    </row>
    <row r="1136">
      <c r="A1136" s="55"/>
      <c r="B1136" s="54" t="s">
        <v>4349</v>
      </c>
      <c r="C1136" s="54" t="s">
        <v>4380</v>
      </c>
      <c r="D1136" s="54" t="s">
        <v>43</v>
      </c>
      <c r="E1136" s="55" t="s">
        <v>4381</v>
      </c>
      <c r="F1136" s="57">
        <f t="shared" si="55"/>
        <v>2</v>
      </c>
      <c r="G1136" s="54" t="s">
        <v>4382</v>
      </c>
      <c r="H1136" s="55"/>
      <c r="I1136" s="7" t="str">
        <f>IFERROR(__xludf.DUMMYFUNCTION("regexreplace(lower(C1136), ""_"", """")"),"dischargeeeg")</f>
        <v>dischargeeeg</v>
      </c>
      <c r="J1136" s="9" t="b">
        <f t="shared" si="2"/>
        <v>1</v>
      </c>
      <c r="K1136" s="7" t="str">
        <f>IFERROR(__xludf.DUMMYFUNCTION("regexreplace(G1136, ""_"", """")"),"dischargeeeg")</f>
        <v>dischargeeeg</v>
      </c>
      <c r="L1136" s="55" t="s">
        <v>4383</v>
      </c>
      <c r="M1136" s="55" t="s">
        <v>4384</v>
      </c>
    </row>
    <row r="1137">
      <c r="A1137" s="55"/>
      <c r="B1137" s="54" t="s">
        <v>4349</v>
      </c>
      <c r="C1137" s="54" t="s">
        <v>4385</v>
      </c>
      <c r="D1137" s="54" t="s">
        <v>43</v>
      </c>
      <c r="E1137" s="55" t="s">
        <v>4386</v>
      </c>
      <c r="F1137" s="57">
        <f t="shared" si="55"/>
        <v>2</v>
      </c>
      <c r="G1137" s="54" t="s">
        <v>4387</v>
      </c>
      <c r="H1137" s="55"/>
      <c r="I1137" s="7" t="str">
        <f>IFERROR(__xludf.DUMMYFUNCTION("regexreplace(lower(C1137), ""_"", """")"),"dischargeeegfindingconsistentwithseizure")</f>
        <v>dischargeeegfindingconsistentwithseizure</v>
      </c>
      <c r="J1137" s="9" t="b">
        <f t="shared" si="2"/>
        <v>1</v>
      </c>
      <c r="K1137" s="7" t="str">
        <f>IFERROR(__xludf.DUMMYFUNCTION("regexreplace(G1137, ""_"", """")"),"dischargeeegfindingconsistentwithseizure")</f>
        <v>dischargeeegfindingconsistentwithseizure</v>
      </c>
      <c r="L1137" s="55" t="s">
        <v>4388</v>
      </c>
      <c r="M1137" s="55" t="s">
        <v>4389</v>
      </c>
    </row>
    <row r="1138">
      <c r="A1138" s="55"/>
      <c r="B1138" s="54" t="s">
        <v>4349</v>
      </c>
      <c r="C1138" s="54" t="s">
        <v>4390</v>
      </c>
      <c r="D1138" s="54" t="s">
        <v>29</v>
      </c>
      <c r="E1138" s="55" t="s">
        <v>4391</v>
      </c>
      <c r="F1138" s="57">
        <f t="shared" si="55"/>
        <v>2</v>
      </c>
      <c r="G1138" s="54" t="s">
        <v>4392</v>
      </c>
      <c r="H1138" s="55"/>
      <c r="I1138" s="7" t="str">
        <f>IFERROR(__xludf.DUMMYFUNCTION("regexreplace(lower(C1138), ""_"", """")"),"dischargeeegfindingconsistentwithseizuredate")</f>
        <v>dischargeeegfindingconsistentwithseizuredate</v>
      </c>
      <c r="J1138" s="9" t="b">
        <f t="shared" si="2"/>
        <v>1</v>
      </c>
      <c r="K1138" s="7" t="str">
        <f>IFERROR(__xludf.DUMMYFUNCTION("regexreplace(G1138, ""_"", """")"),"dischargeeegfindingconsistentwithseizuredate")</f>
        <v>dischargeeegfindingconsistentwithseizuredate</v>
      </c>
      <c r="L1138" s="55" t="s">
        <v>4393</v>
      </c>
      <c r="M1138" s="55" t="s">
        <v>4394</v>
      </c>
    </row>
    <row r="1139">
      <c r="A1139" s="55"/>
      <c r="B1139" s="54" t="s">
        <v>4349</v>
      </c>
      <c r="C1139" s="54" t="s">
        <v>4395</v>
      </c>
      <c r="D1139" s="54" t="s">
        <v>148</v>
      </c>
      <c r="E1139" s="55" t="s">
        <v>4396</v>
      </c>
      <c r="F1139" s="57">
        <f t="shared" si="55"/>
        <v>2</v>
      </c>
      <c r="G1139" s="54" t="s">
        <v>4397</v>
      </c>
      <c r="H1139" s="55"/>
      <c r="I1139" s="7" t="str">
        <f>IFERROR(__xludf.DUMMYFUNCTION("regexreplace(lower(C1139), ""_"", """")"),"dischargeeegfindingconsistentwithseizuretime")</f>
        <v>dischargeeegfindingconsistentwithseizuretime</v>
      </c>
      <c r="J1139" s="9" t="b">
        <f t="shared" si="2"/>
        <v>1</v>
      </c>
      <c r="K1139" s="7" t="str">
        <f>IFERROR(__xludf.DUMMYFUNCTION("regexreplace(G1139, ""_"", """")"),"dischargeeegfindingconsistentwithseizuretime")</f>
        <v>dischargeeegfindingconsistentwithseizuretime</v>
      </c>
      <c r="L1139" s="55" t="s">
        <v>4398</v>
      </c>
      <c r="M1139" s="55" t="s">
        <v>4399</v>
      </c>
    </row>
    <row r="1140">
      <c r="A1140" s="55"/>
      <c r="B1140" s="54" t="s">
        <v>4349</v>
      </c>
      <c r="C1140" s="54" t="s">
        <v>4400</v>
      </c>
      <c r="D1140" s="54" t="s">
        <v>43</v>
      </c>
      <c r="E1140" s="55" t="s">
        <v>4401</v>
      </c>
      <c r="F1140" s="57">
        <f t="shared" si="55"/>
        <v>2</v>
      </c>
      <c r="G1140" s="54" t="s">
        <v>4402</v>
      </c>
      <c r="H1140" s="55"/>
      <c r="I1140" s="7" t="str">
        <f>IFERROR(__xludf.DUMMYFUNCTION("regexreplace(lower(C1140), ""_"", """")"),"dischargeeegabnormalbackgroundactivity")</f>
        <v>dischargeeegabnormalbackgroundactivity</v>
      </c>
      <c r="J1140" s="9" t="b">
        <f t="shared" si="2"/>
        <v>1</v>
      </c>
      <c r="K1140" s="7" t="str">
        <f>IFERROR(__xludf.DUMMYFUNCTION("regexreplace(G1140, ""_"", """")"),"dischargeeegabnormalbackgroundactivity")</f>
        <v>dischargeeegabnormalbackgroundactivity</v>
      </c>
      <c r="L1140" s="55" t="s">
        <v>4403</v>
      </c>
      <c r="M1140" s="55" t="s">
        <v>4404</v>
      </c>
    </row>
    <row r="1141">
      <c r="A1141" s="55"/>
      <c r="B1141" s="54" t="s">
        <v>4349</v>
      </c>
      <c r="C1141" s="54" t="s">
        <v>4405</v>
      </c>
      <c r="D1141" s="54" t="s">
        <v>29</v>
      </c>
      <c r="E1141" s="55" t="s">
        <v>4406</v>
      </c>
      <c r="F1141" s="57">
        <f t="shared" si="55"/>
        <v>2</v>
      </c>
      <c r="G1141" s="54" t="s">
        <v>4407</v>
      </c>
      <c r="H1141" s="55"/>
      <c r="I1141" s="7" t="str">
        <f>IFERROR(__xludf.DUMMYFUNCTION("regexreplace(lower(C1141), ""_"", """")"),"dischargeeegabnormalbackgroundactivitydate")</f>
        <v>dischargeeegabnormalbackgroundactivitydate</v>
      </c>
      <c r="J1141" s="9" t="b">
        <f t="shared" si="2"/>
        <v>1</v>
      </c>
      <c r="K1141" s="7" t="str">
        <f>IFERROR(__xludf.DUMMYFUNCTION("regexreplace(G1141, ""_"", """")"),"dischargeeegabnormalbackgroundactivitydate")</f>
        <v>dischargeeegabnormalbackgroundactivitydate</v>
      </c>
      <c r="L1141" s="55" t="s">
        <v>4408</v>
      </c>
      <c r="M1141" s="55" t="s">
        <v>4409</v>
      </c>
    </row>
    <row r="1142">
      <c r="A1142" s="55"/>
      <c r="B1142" s="54" t="s">
        <v>4349</v>
      </c>
      <c r="C1142" s="54" t="s">
        <v>4410</v>
      </c>
      <c r="D1142" s="54" t="s">
        <v>148</v>
      </c>
      <c r="E1142" s="55" t="s">
        <v>4411</v>
      </c>
      <c r="F1142" s="57">
        <f t="shared" si="55"/>
        <v>2</v>
      </c>
      <c r="G1142" s="54" t="s">
        <v>4412</v>
      </c>
      <c r="H1142" s="55"/>
      <c r="I1142" s="7" t="str">
        <f>IFERROR(__xludf.DUMMYFUNCTION("regexreplace(lower(C1142), ""_"", """")"),"dischargeeegabnormalbackgroundactivitytime")</f>
        <v>dischargeeegabnormalbackgroundactivitytime</v>
      </c>
      <c r="J1142" s="9" t="b">
        <f t="shared" si="2"/>
        <v>1</v>
      </c>
      <c r="K1142" s="7" t="str">
        <f>IFERROR(__xludf.DUMMYFUNCTION("regexreplace(G1142, ""_"", """")"),"dischargeeegabnormalbackgroundactivitytime")</f>
        <v>dischargeeegabnormalbackgroundactivitytime</v>
      </c>
      <c r="L1142" s="55" t="s">
        <v>4413</v>
      </c>
      <c r="M1142" s="55" t="s">
        <v>4414</v>
      </c>
    </row>
    <row r="1143">
      <c r="A1143" s="55"/>
      <c r="B1143" s="54" t="s">
        <v>4349</v>
      </c>
      <c r="C1143" s="56" t="s">
        <v>4415</v>
      </c>
      <c r="D1143" s="54" t="s">
        <v>43</v>
      </c>
      <c r="E1143" s="55" t="s">
        <v>4416</v>
      </c>
      <c r="F1143" s="57">
        <f t="shared" si="55"/>
        <v>2</v>
      </c>
      <c r="G1143" s="56" t="s">
        <v>4417</v>
      </c>
      <c r="H1143" s="55"/>
      <c r="I1143" s="7" t="str">
        <f>IFERROR(__xludf.DUMMYFUNCTION("regexreplace(lower(C1143), ""_"", """")"),"dischargeanticonvulsantsgreater72h")</f>
        <v>dischargeanticonvulsantsgreater72h</v>
      </c>
      <c r="J1143" s="9" t="b">
        <f t="shared" si="2"/>
        <v>1</v>
      </c>
      <c r="K1143" s="7" t="str">
        <f>IFERROR(__xludf.DUMMYFUNCTION("regexreplace(G1143, ""_"", """")"),"dischargeanticonvulsantsgreater72h")</f>
        <v>dischargeanticonvulsantsgreater72h</v>
      </c>
      <c r="L1143" s="55" t="s">
        <v>4418</v>
      </c>
      <c r="M1143" s="55" t="s">
        <v>4419</v>
      </c>
    </row>
    <row r="1144">
      <c r="A1144" s="55"/>
      <c r="B1144" s="54" t="s">
        <v>4349</v>
      </c>
      <c r="C1144" s="54" t="s">
        <v>4420</v>
      </c>
      <c r="D1144" s="54" t="s">
        <v>43</v>
      </c>
      <c r="E1144" s="59" t="s">
        <v>4421</v>
      </c>
      <c r="F1144" s="57">
        <f t="shared" si="55"/>
        <v>2</v>
      </c>
      <c r="G1144" s="54" t="s">
        <v>4422</v>
      </c>
      <c r="H1144" s="55"/>
      <c r="I1144" s="7" t="str">
        <f>IFERROR(__xludf.DUMMYFUNCTION("regexreplace(lower(C1144), ""_"", """")"),"dischargeanticonvulsants")</f>
        <v>dischargeanticonvulsants</v>
      </c>
      <c r="J1144" s="9" t="b">
        <f t="shared" si="2"/>
        <v>1</v>
      </c>
      <c r="K1144" s="7" t="str">
        <f>IFERROR(__xludf.DUMMYFUNCTION("regexreplace(G1144, ""_"", """")"),"dischargeanticonvulsants")</f>
        <v>dischargeanticonvulsants</v>
      </c>
      <c r="L1144" s="60" t="s">
        <v>4423</v>
      </c>
      <c r="M1144" s="60" t="s">
        <v>4423</v>
      </c>
    </row>
    <row r="1145">
      <c r="A1145" s="12"/>
      <c r="B1145" s="12"/>
      <c r="C1145" s="13"/>
      <c r="D1145" s="12"/>
      <c r="E1145" s="12"/>
      <c r="F1145" s="12"/>
      <c r="G1145" s="12" t="s">
        <v>913</v>
      </c>
      <c r="H1145" s="12"/>
      <c r="I1145" s="7" t="str">
        <f>IFERROR(__xludf.DUMMYFUNCTION("regexreplace(lower(C1145), ""_"", """")"),"")</f>
        <v/>
      </c>
      <c r="J1145" s="9" t="str">
        <f t="shared" si="2"/>
        <v/>
      </c>
      <c r="K1145" s="7" t="str">
        <f>IFERROR(__xludf.DUMMYFUNCTION("regexreplace(G1145, ""_"", """")"),"")</f>
        <v/>
      </c>
      <c r="L1145" s="12"/>
      <c r="M1145" s="12"/>
    </row>
    <row r="1146">
      <c r="A1146" s="54" t="s">
        <v>3778</v>
      </c>
      <c r="B1146" s="54" t="s">
        <v>4424</v>
      </c>
      <c r="C1146" s="54" t="s">
        <v>4425</v>
      </c>
      <c r="D1146" s="54" t="s">
        <v>43</v>
      </c>
      <c r="E1146" s="55" t="s">
        <v>4426</v>
      </c>
      <c r="F1146" s="57">
        <f t="shared" ref="F1146:F1149" si="56">counta(L1146:M1146)</f>
        <v>2</v>
      </c>
      <c r="G1146" s="54" t="s">
        <v>4427</v>
      </c>
      <c r="H1146" s="55"/>
      <c r="I1146" s="7" t="str">
        <f>IFERROR(__xludf.DUMMYFUNCTION("regexreplace(lower(C1146), ""_"", """")"),"dischargesyndromemalformation")</f>
        <v>dischargesyndromemalformation</v>
      </c>
      <c r="J1146" s="9" t="b">
        <f t="shared" si="2"/>
        <v>1</v>
      </c>
      <c r="K1146" s="7" t="str">
        <f>IFERROR(__xludf.DUMMYFUNCTION("regexreplace(G1146, ""_"", """")"),"dischargesyndromemalformation")</f>
        <v>dischargesyndromemalformation</v>
      </c>
      <c r="L1146" s="55" t="s">
        <v>4428</v>
      </c>
      <c r="M1146" s="55" t="s">
        <v>4429</v>
      </c>
    </row>
    <row r="1147">
      <c r="A1147" s="55"/>
      <c r="B1147" s="54" t="s">
        <v>4424</v>
      </c>
      <c r="C1147" s="54" t="s">
        <v>4430</v>
      </c>
      <c r="D1147" s="54" t="s">
        <v>4431</v>
      </c>
      <c r="E1147" s="55" t="s">
        <v>4432</v>
      </c>
      <c r="F1147" s="57">
        <f t="shared" si="56"/>
        <v>2</v>
      </c>
      <c r="G1147" s="54" t="s">
        <v>4433</v>
      </c>
      <c r="H1147" s="55"/>
      <c r="I1147" s="7" t="str">
        <f>IFERROR(__xludf.DUMMYFUNCTION("regexreplace(lower(C1147), ""_"", """")"),"dischargebirthdefectcode1")</f>
        <v>dischargebirthdefectcode1</v>
      </c>
      <c r="J1147" s="9" t="b">
        <f t="shared" si="2"/>
        <v>1</v>
      </c>
      <c r="K1147" s="7" t="str">
        <f>IFERROR(__xludf.DUMMYFUNCTION("regexreplace(G1147, ""_"", """")"),"dischargebirthdefectcode1")</f>
        <v>dischargebirthdefectcode1</v>
      </c>
      <c r="L1147" s="55" t="s">
        <v>4434</v>
      </c>
      <c r="M1147" s="55" t="s">
        <v>4435</v>
      </c>
    </row>
    <row r="1148">
      <c r="A1148" s="55"/>
      <c r="B1148" s="54" t="s">
        <v>4424</v>
      </c>
      <c r="C1148" s="54" t="s">
        <v>4436</v>
      </c>
      <c r="D1148" s="54" t="s">
        <v>4431</v>
      </c>
      <c r="E1148" s="55" t="s">
        <v>4437</v>
      </c>
      <c r="F1148" s="57">
        <f t="shared" si="56"/>
        <v>2</v>
      </c>
      <c r="G1148" s="54" t="s">
        <v>4438</v>
      </c>
      <c r="H1148" s="55"/>
      <c r="I1148" s="7" t="str">
        <f>IFERROR(__xludf.DUMMYFUNCTION("regexreplace(lower(C1148), ""_"", """")"),"dischargebirthdefectcode2")</f>
        <v>dischargebirthdefectcode2</v>
      </c>
      <c r="J1148" s="9" t="b">
        <f t="shared" si="2"/>
        <v>1</v>
      </c>
      <c r="K1148" s="7" t="str">
        <f>IFERROR(__xludf.DUMMYFUNCTION("regexreplace(G1148, ""_"", """")"),"dischargebirthdefectcode2")</f>
        <v>dischargebirthdefectcode2</v>
      </c>
      <c r="L1148" s="55" t="s">
        <v>4439</v>
      </c>
      <c r="M1148" s="55" t="s">
        <v>4440</v>
      </c>
    </row>
    <row r="1149">
      <c r="A1149" s="55"/>
      <c r="B1149" s="54" t="s">
        <v>4424</v>
      </c>
      <c r="C1149" s="54" t="s">
        <v>4441</v>
      </c>
      <c r="D1149" s="54" t="s">
        <v>4431</v>
      </c>
      <c r="E1149" s="55" t="s">
        <v>4442</v>
      </c>
      <c r="F1149" s="57">
        <f t="shared" si="56"/>
        <v>2</v>
      </c>
      <c r="G1149" s="54" t="s">
        <v>4443</v>
      </c>
      <c r="H1149" s="55"/>
      <c r="I1149" s="7" t="str">
        <f>IFERROR(__xludf.DUMMYFUNCTION("regexreplace(lower(C1149), ""_"", """")"),"dischargebirthdefectcode3")</f>
        <v>dischargebirthdefectcode3</v>
      </c>
      <c r="J1149" s="9" t="b">
        <f t="shared" si="2"/>
        <v>1</v>
      </c>
      <c r="K1149" s="7" t="str">
        <f>IFERROR(__xludf.DUMMYFUNCTION("regexreplace(G1149, ""_"", """")"),"dischargebirthdefectcode3")</f>
        <v>dischargebirthdefectcode3</v>
      </c>
      <c r="L1149" s="55" t="s">
        <v>4444</v>
      </c>
      <c r="M1149" s="55" t="s">
        <v>4445</v>
      </c>
    </row>
    <row r="1150">
      <c r="A1150" s="12"/>
      <c r="B1150" s="12"/>
      <c r="C1150" s="13"/>
      <c r="D1150" s="12"/>
      <c r="E1150" s="12"/>
      <c r="F1150" s="12"/>
      <c r="G1150" s="12" t="s">
        <v>913</v>
      </c>
      <c r="H1150" s="12"/>
      <c r="I1150" s="7" t="str">
        <f>IFERROR(__xludf.DUMMYFUNCTION("regexreplace(lower(C1150), ""_"", """")"),"")</f>
        <v/>
      </c>
      <c r="J1150" s="9" t="str">
        <f t="shared" si="2"/>
        <v/>
      </c>
      <c r="K1150" s="7" t="str">
        <f>IFERROR(__xludf.DUMMYFUNCTION("regexreplace(G1150, ""_"", """")"),"")</f>
        <v/>
      </c>
      <c r="L1150" s="12"/>
      <c r="M1150" s="12"/>
    </row>
    <row r="1151">
      <c r="A1151" s="54" t="s">
        <v>3778</v>
      </c>
      <c r="B1151" s="54" t="s">
        <v>4446</v>
      </c>
      <c r="C1151" s="54" t="s">
        <v>4447</v>
      </c>
      <c r="D1151" s="54" t="s">
        <v>43</v>
      </c>
      <c r="E1151" s="55" t="s">
        <v>4448</v>
      </c>
      <c r="F1151" s="57">
        <f t="shared" ref="F1151:F1159" si="57">counta(L1151:M1151)</f>
        <v>1</v>
      </c>
      <c r="G1151" s="54" t="s">
        <v>4449</v>
      </c>
      <c r="H1151" s="55"/>
      <c r="I1151" s="7" t="str">
        <f>IFERROR(__xludf.DUMMYFUNCTION("regexreplace(lower(C1151), ""_"", """")"),"dischargehometherapy")</f>
        <v>dischargehometherapy</v>
      </c>
      <c r="J1151" s="9" t="b">
        <f t="shared" si="2"/>
        <v>1</v>
      </c>
      <c r="K1151" s="7" t="str">
        <f>IFERROR(__xludf.DUMMYFUNCTION("regexreplace(G1151, ""_"", """")"),"dischargehometherapy")</f>
        <v>dischargehometherapy</v>
      </c>
      <c r="L1151" s="55"/>
      <c r="M1151" s="55" t="s">
        <v>4450</v>
      </c>
    </row>
    <row r="1152">
      <c r="A1152" s="55"/>
      <c r="B1152" s="54" t="s">
        <v>4446</v>
      </c>
      <c r="C1152" s="54" t="s">
        <v>4451</v>
      </c>
      <c r="D1152" s="54" t="s">
        <v>43</v>
      </c>
      <c r="E1152" s="55" t="s">
        <v>3852</v>
      </c>
      <c r="F1152" s="57">
        <f t="shared" si="57"/>
        <v>2</v>
      </c>
      <c r="G1152" s="54" t="s">
        <v>4452</v>
      </c>
      <c r="H1152" s="55"/>
      <c r="I1152" s="7" t="str">
        <f>IFERROR(__xludf.DUMMYFUNCTION("regexreplace(lower(C1152), ""_"", """")"),"dischargehometherapyventilator")</f>
        <v>dischargehometherapyventilator</v>
      </c>
      <c r="J1152" s="9" t="b">
        <f t="shared" si="2"/>
        <v>1</v>
      </c>
      <c r="K1152" s="7" t="str">
        <f>IFERROR(__xludf.DUMMYFUNCTION("regexreplace(G1152, ""_"", """")"),"dischargehometherapyventilator")</f>
        <v>dischargehometherapyventilator</v>
      </c>
      <c r="L1152" s="55" t="s">
        <v>4453</v>
      </c>
      <c r="M1152" s="55" t="s">
        <v>4454</v>
      </c>
    </row>
    <row r="1153">
      <c r="A1153" s="55"/>
      <c r="B1153" s="54" t="s">
        <v>4446</v>
      </c>
      <c r="C1153" s="54" t="s">
        <v>4455</v>
      </c>
      <c r="D1153" s="54" t="s">
        <v>43</v>
      </c>
      <c r="E1153" s="55" t="s">
        <v>3856</v>
      </c>
      <c r="F1153" s="57">
        <f t="shared" si="57"/>
        <v>2</v>
      </c>
      <c r="G1153" s="54" t="s">
        <v>4456</v>
      </c>
      <c r="H1153" s="55"/>
      <c r="I1153" s="7" t="str">
        <f>IFERROR(__xludf.DUMMYFUNCTION("regexreplace(lower(C1153), ""_"", """")"),"dischargehometherapyoxygen")</f>
        <v>dischargehometherapyoxygen</v>
      </c>
      <c r="J1153" s="9" t="b">
        <f t="shared" si="2"/>
        <v>1</v>
      </c>
      <c r="K1153" s="7" t="str">
        <f>IFERROR(__xludf.DUMMYFUNCTION("regexreplace(G1153, ""_"", """")"),"dischargehometherapyoxygen")</f>
        <v>dischargehometherapyoxygen</v>
      </c>
      <c r="L1153" s="55" t="s">
        <v>4457</v>
      </c>
      <c r="M1153" s="55" t="s">
        <v>4458</v>
      </c>
    </row>
    <row r="1154">
      <c r="A1154" s="55"/>
      <c r="B1154" s="54" t="s">
        <v>4446</v>
      </c>
      <c r="C1154" s="54" t="s">
        <v>4459</v>
      </c>
      <c r="D1154" s="54" t="s">
        <v>43</v>
      </c>
      <c r="E1154" s="55" t="s">
        <v>3860</v>
      </c>
      <c r="F1154" s="57">
        <f t="shared" si="57"/>
        <v>2</v>
      </c>
      <c r="G1154" s="54" t="s">
        <v>4460</v>
      </c>
      <c r="H1154" s="55"/>
      <c r="I1154" s="7" t="str">
        <f>IFERROR(__xludf.DUMMYFUNCTION("regexreplace(lower(C1154), ""_"", """")"),"dischargehometherapygavagetubefeed")</f>
        <v>dischargehometherapygavagetubefeed</v>
      </c>
      <c r="J1154" s="9" t="b">
        <f t="shared" si="2"/>
        <v>1</v>
      </c>
      <c r="K1154" s="7" t="str">
        <f>IFERROR(__xludf.DUMMYFUNCTION("regexreplace(G1154, ""_"", """")"),"dischargehometherapygavagetubefeed")</f>
        <v>dischargehometherapygavagetubefeed</v>
      </c>
      <c r="L1154" s="55" t="s">
        <v>4461</v>
      </c>
      <c r="M1154" s="55" t="s">
        <v>4462</v>
      </c>
    </row>
    <row r="1155">
      <c r="A1155" s="55"/>
      <c r="B1155" s="54" t="s">
        <v>4446</v>
      </c>
      <c r="C1155" s="54" t="s">
        <v>4463</v>
      </c>
      <c r="D1155" s="54" t="s">
        <v>43</v>
      </c>
      <c r="E1155" s="55" t="s">
        <v>4464</v>
      </c>
      <c r="F1155" s="57">
        <f t="shared" si="57"/>
        <v>2</v>
      </c>
      <c r="G1155" s="54" t="s">
        <v>4465</v>
      </c>
      <c r="H1155" s="55"/>
      <c r="I1155" s="7" t="str">
        <f>IFERROR(__xludf.DUMMYFUNCTION("regexreplace(lower(C1155), ""_"", """")"),"dischargehometherapygastrostomytubefeed")</f>
        <v>dischargehometherapygastrostomytubefeed</v>
      </c>
      <c r="J1155" s="9" t="b">
        <f t="shared" si="2"/>
        <v>1</v>
      </c>
      <c r="K1155" s="7" t="str">
        <f>IFERROR(__xludf.DUMMYFUNCTION("regexreplace(G1155, ""_"", """")"),"dischargehometherapygastrostomytubefeed")</f>
        <v>dischargehometherapygastrostomytubefeed</v>
      </c>
      <c r="L1155" s="55" t="s">
        <v>4466</v>
      </c>
      <c r="M1155" s="55" t="s">
        <v>4467</v>
      </c>
    </row>
    <row r="1156">
      <c r="A1156" s="55"/>
      <c r="B1156" s="54" t="s">
        <v>4446</v>
      </c>
      <c r="C1156" s="54" t="s">
        <v>4468</v>
      </c>
      <c r="D1156" s="54" t="s">
        <v>43</v>
      </c>
      <c r="E1156" s="55" t="s">
        <v>3868</v>
      </c>
      <c r="F1156" s="57">
        <f t="shared" si="57"/>
        <v>2</v>
      </c>
      <c r="G1156" s="54" t="s">
        <v>4469</v>
      </c>
      <c r="H1156" s="55"/>
      <c r="I1156" s="7" t="str">
        <f>IFERROR(__xludf.DUMMYFUNCTION("regexreplace(lower(C1156), ""_"", """")"),"dischargehometherapytemperatureblanket")</f>
        <v>dischargehometherapytemperatureblanket</v>
      </c>
      <c r="J1156" s="9" t="b">
        <f t="shared" si="2"/>
        <v>1</v>
      </c>
      <c r="K1156" s="7" t="str">
        <f>IFERROR(__xludf.DUMMYFUNCTION("regexreplace(G1156, ""_"", """")"),"dischargehometherapytemperatureblanket")</f>
        <v>dischargehometherapytemperatureblanket</v>
      </c>
      <c r="L1156" s="55" t="s">
        <v>4470</v>
      </c>
      <c r="M1156" s="55" t="s">
        <v>4471</v>
      </c>
    </row>
    <row r="1157">
      <c r="A1157" s="55"/>
      <c r="B1157" s="54" t="s">
        <v>4446</v>
      </c>
      <c r="C1157" s="54" t="s">
        <v>4472</v>
      </c>
      <c r="D1157" s="54" t="s">
        <v>43</v>
      </c>
      <c r="E1157" s="55" t="s">
        <v>3872</v>
      </c>
      <c r="F1157" s="57">
        <f t="shared" si="57"/>
        <v>2</v>
      </c>
      <c r="G1157" s="54" t="s">
        <v>4473</v>
      </c>
      <c r="H1157" s="55"/>
      <c r="I1157" s="7" t="str">
        <f>IFERROR(__xludf.DUMMYFUNCTION("regexreplace(lower(C1157), ""_"", """")"),"dischargehometherapyanticonvulsantmedication")</f>
        <v>dischargehometherapyanticonvulsantmedication</v>
      </c>
      <c r="J1157" s="9" t="b">
        <f t="shared" si="2"/>
        <v>1</v>
      </c>
      <c r="K1157" s="7" t="str">
        <f>IFERROR(__xludf.DUMMYFUNCTION("regexreplace(G1157, ""_"", """")"),"dischargehometherapyanticonvulsantmedication")</f>
        <v>dischargehometherapyanticonvulsantmedication</v>
      </c>
      <c r="L1157" s="55" t="s">
        <v>4474</v>
      </c>
      <c r="M1157" s="55" t="s">
        <v>4475</v>
      </c>
    </row>
    <row r="1158">
      <c r="A1158" s="55"/>
      <c r="B1158" s="54" t="s">
        <v>4446</v>
      </c>
      <c r="C1158" s="54" t="s">
        <v>4476</v>
      </c>
      <c r="D1158" s="54" t="s">
        <v>43</v>
      </c>
      <c r="E1158" s="55" t="s">
        <v>4477</v>
      </c>
      <c r="F1158" s="57">
        <f t="shared" si="57"/>
        <v>2</v>
      </c>
      <c r="G1158" s="54" t="s">
        <v>4478</v>
      </c>
      <c r="H1158" s="55"/>
      <c r="I1158" s="7" t="str">
        <f>IFERROR(__xludf.DUMMYFUNCTION("regexreplace(lower(C1158), ""_"", """")"),"dischargehometherapyother")</f>
        <v>dischargehometherapyother</v>
      </c>
      <c r="J1158" s="9" t="b">
        <f t="shared" si="2"/>
        <v>1</v>
      </c>
      <c r="K1158" s="7" t="str">
        <f>IFERROR(__xludf.DUMMYFUNCTION("regexreplace(G1158, ""_"", """")"),"dischargehometherapyother")</f>
        <v>dischargehometherapyother</v>
      </c>
      <c r="L1158" s="55" t="s">
        <v>4479</v>
      </c>
      <c r="M1158" s="55" t="s">
        <v>4480</v>
      </c>
    </row>
    <row r="1159">
      <c r="A1159" s="55"/>
      <c r="B1159" s="54" t="s">
        <v>4446</v>
      </c>
      <c r="C1159" s="54" t="s">
        <v>4481</v>
      </c>
      <c r="D1159" s="54" t="s">
        <v>19</v>
      </c>
      <c r="E1159" s="55" t="s">
        <v>3257</v>
      </c>
      <c r="F1159" s="57">
        <f t="shared" si="57"/>
        <v>2</v>
      </c>
      <c r="G1159" s="54" t="s">
        <v>4482</v>
      </c>
      <c r="H1159" s="55"/>
      <c r="I1159" s="7" t="str">
        <f>IFERROR(__xludf.DUMMYFUNCTION("regexreplace(lower(C1159), ""_"", """")"),"dischargehometherapyothertext")</f>
        <v>dischargehometherapyothertext</v>
      </c>
      <c r="J1159" s="9" t="b">
        <f t="shared" si="2"/>
        <v>1</v>
      </c>
      <c r="K1159" s="7" t="str">
        <f>IFERROR(__xludf.DUMMYFUNCTION("regexreplace(G1159, ""_"", """")"),"dischargehometherapyothertext")</f>
        <v>dischargehometherapyothertext</v>
      </c>
      <c r="L1159" s="55" t="s">
        <v>4483</v>
      </c>
      <c r="M1159" s="55" t="s">
        <v>4484</v>
      </c>
    </row>
    <row r="1160">
      <c r="A1160" s="12"/>
      <c r="B1160" s="12"/>
      <c r="C1160" s="13"/>
      <c r="D1160" s="12"/>
      <c r="E1160" s="12"/>
      <c r="F1160" s="12"/>
      <c r="G1160" s="12"/>
      <c r="H1160" s="12"/>
      <c r="I1160" s="7" t="str">
        <f>IFERROR(__xludf.DUMMYFUNCTION("regexreplace(lower(C1160), ""_"", """")"),"")</f>
        <v/>
      </c>
      <c r="J1160" s="9" t="str">
        <f t="shared" si="2"/>
        <v/>
      </c>
      <c r="K1160" s="7" t="str">
        <f>IFERROR(__xludf.DUMMYFUNCTION("regexreplace(G1160, ""_"", """")"),"")</f>
        <v/>
      </c>
      <c r="L1160" s="12"/>
      <c r="M1160" s="12"/>
    </row>
    <row r="1161">
      <c r="A1161" s="54" t="s">
        <v>3778</v>
      </c>
      <c r="B1161" s="54" t="s">
        <v>4485</v>
      </c>
      <c r="C1161" s="54" t="s">
        <v>4486</v>
      </c>
      <c r="D1161" s="54" t="s">
        <v>43</v>
      </c>
      <c r="E1161" s="55" t="s">
        <v>4487</v>
      </c>
      <c r="F1161" s="57">
        <f t="shared" ref="F1161:F1173" si="58">counta(L1161:M1161)</f>
        <v>2</v>
      </c>
      <c r="G1161" s="54" t="s">
        <v>4488</v>
      </c>
      <c r="H1161" s="55"/>
      <c r="I1161" s="7" t="str">
        <f>IFERROR(__xludf.DUMMYFUNCTION("regexreplace(lower(C1161), ""_"", """")"),"wdrawsupport")</f>
        <v>wdrawsupport</v>
      </c>
      <c r="J1161" s="9" t="b">
        <f t="shared" si="2"/>
        <v>1</v>
      </c>
      <c r="K1161" s="7" t="str">
        <f>IFERROR(__xludf.DUMMYFUNCTION("regexreplace(G1161, ""_"", """")"),"wdrawsupport")</f>
        <v>wdrawsupport</v>
      </c>
      <c r="L1161" s="55" t="s">
        <v>4489</v>
      </c>
      <c r="M1161" s="55" t="s">
        <v>4490</v>
      </c>
    </row>
    <row r="1162">
      <c r="A1162" s="55"/>
      <c r="B1162" s="54" t="s">
        <v>4485</v>
      </c>
      <c r="C1162" s="54" t="s">
        <v>4491</v>
      </c>
      <c r="D1162" s="54" t="s">
        <v>29</v>
      </c>
      <c r="E1162" s="55" t="s">
        <v>4492</v>
      </c>
      <c r="F1162" s="57">
        <f t="shared" si="58"/>
        <v>2</v>
      </c>
      <c r="G1162" s="54" t="s">
        <v>4493</v>
      </c>
      <c r="H1162" s="55"/>
      <c r="I1162" s="7" t="str">
        <f>IFERROR(__xludf.DUMMYFUNCTION("regexreplace(lower(C1162), ""_"", """")"),"wdrawsupportdate")</f>
        <v>wdrawsupportdate</v>
      </c>
      <c r="J1162" s="9" t="b">
        <f t="shared" si="2"/>
        <v>1</v>
      </c>
      <c r="K1162" s="7" t="str">
        <f>IFERROR(__xludf.DUMMYFUNCTION("regexreplace(G1162, ""_"", """")"),"wdrawsupportdate")</f>
        <v>wdrawsupportdate</v>
      </c>
      <c r="L1162" s="55" t="s">
        <v>4494</v>
      </c>
      <c r="M1162" s="55" t="s">
        <v>4495</v>
      </c>
    </row>
    <row r="1163">
      <c r="A1163" s="55"/>
      <c r="B1163" s="54" t="s">
        <v>4485</v>
      </c>
      <c r="C1163" s="54" t="s">
        <v>4496</v>
      </c>
      <c r="D1163" s="54" t="s">
        <v>148</v>
      </c>
      <c r="E1163" s="55" t="s">
        <v>4497</v>
      </c>
      <c r="F1163" s="57">
        <f t="shared" si="58"/>
        <v>2</v>
      </c>
      <c r="G1163" s="54" t="s">
        <v>4498</v>
      </c>
      <c r="H1163" s="55"/>
      <c r="I1163" s="7" t="str">
        <f>IFERROR(__xludf.DUMMYFUNCTION("regexreplace(lower(C1163), ""_"", """")"),"wdrawsupporttime")</f>
        <v>wdrawsupporttime</v>
      </c>
      <c r="J1163" s="9" t="b">
        <f t="shared" si="2"/>
        <v>1</v>
      </c>
      <c r="K1163" s="7" t="str">
        <f>IFERROR(__xludf.DUMMYFUNCTION("regexreplace(G1163, ""_"", """")"),"wdrawsupporttime")</f>
        <v>wdrawsupporttime</v>
      </c>
      <c r="L1163" s="55" t="s">
        <v>4499</v>
      </c>
      <c r="M1163" s="55" t="s">
        <v>4500</v>
      </c>
    </row>
    <row r="1164">
      <c r="A1164" s="55"/>
      <c r="B1164" s="54" t="s">
        <v>4485</v>
      </c>
      <c r="C1164" s="54" t="s">
        <v>4501</v>
      </c>
      <c r="D1164" s="54" t="s">
        <v>43</v>
      </c>
      <c r="E1164" s="55" t="s">
        <v>4502</v>
      </c>
      <c r="F1164" s="57">
        <f t="shared" si="58"/>
        <v>2</v>
      </c>
      <c r="G1164" s="54" t="s">
        <v>4503</v>
      </c>
      <c r="H1164" s="55"/>
      <c r="I1164" s="7" t="str">
        <f>IFERROR(__xludf.DUMMYFUNCTION("regexreplace(lower(C1164), ""_"", """")"),"wdrawsupportdiscussedwithfamily")</f>
        <v>wdrawsupportdiscussedwithfamily</v>
      </c>
      <c r="J1164" s="9" t="b">
        <f t="shared" si="2"/>
        <v>1</v>
      </c>
      <c r="K1164" s="7" t="str">
        <f>IFERROR(__xludf.DUMMYFUNCTION("regexreplace(G1164, ""_"", """")"),"wdrawsupportdiscussedwithfamily")</f>
        <v>wdrawsupportdiscussedwithfamily</v>
      </c>
      <c r="L1164" s="55" t="s">
        <v>4504</v>
      </c>
      <c r="M1164" s="55" t="s">
        <v>4505</v>
      </c>
    </row>
    <row r="1165">
      <c r="A1165" s="55"/>
      <c r="B1165" s="54" t="s">
        <v>4485</v>
      </c>
      <c r="C1165" s="54" t="s">
        <v>4506</v>
      </c>
      <c r="D1165" s="54" t="s">
        <v>43</v>
      </c>
      <c r="E1165" s="55" t="s">
        <v>4507</v>
      </c>
      <c r="F1165" s="57">
        <f t="shared" si="58"/>
        <v>2</v>
      </c>
      <c r="G1165" s="54" t="s">
        <v>4508</v>
      </c>
      <c r="H1165" s="55"/>
      <c r="I1165" s="7" t="str">
        <f>IFERROR(__xludf.DUMMYFUNCTION("regexreplace(lower(C1165), ""_"", """")"),"wdrawsupportrecommendsolelybyclinicalteam")</f>
        <v>wdrawsupportrecommendsolelybyclinicalteam</v>
      </c>
      <c r="J1165" s="9" t="b">
        <f t="shared" si="2"/>
        <v>1</v>
      </c>
      <c r="K1165" s="7" t="str">
        <f>IFERROR(__xludf.DUMMYFUNCTION("regexreplace(G1165, ""_"", """")"),"wdrawsupportrecommendsolelybyclinicalteam")</f>
        <v>wdrawsupportrecommendsolelybyclinicalteam</v>
      </c>
      <c r="L1165" s="55" t="s">
        <v>4509</v>
      </c>
      <c r="M1165" s="55" t="s">
        <v>4510</v>
      </c>
    </row>
    <row r="1166">
      <c r="A1166" s="55"/>
      <c r="B1166" s="54" t="s">
        <v>4485</v>
      </c>
      <c r="C1166" s="54" t="s">
        <v>4511</v>
      </c>
      <c r="D1166" s="54" t="s">
        <v>43</v>
      </c>
      <c r="E1166" s="55" t="s">
        <v>4512</v>
      </c>
      <c r="F1166" s="57">
        <f t="shared" si="58"/>
        <v>2</v>
      </c>
      <c r="G1166" s="54" t="s">
        <v>4513</v>
      </c>
      <c r="H1166" s="55"/>
      <c r="I1166" s="7" t="str">
        <f>IFERROR(__xludf.DUMMYFUNCTION("regexreplace(lower(C1166), ""_"", """")"),"wdrawsupportneurologicalexam")</f>
        <v>wdrawsupportneurologicalexam</v>
      </c>
      <c r="J1166" s="9" t="b">
        <f t="shared" si="2"/>
        <v>1</v>
      </c>
      <c r="K1166" s="7" t="str">
        <f>IFERROR(__xludf.DUMMYFUNCTION("regexreplace(G1166, ""_"", """")"),"wdrawsupportneurologicalexam")</f>
        <v>wdrawsupportneurologicalexam</v>
      </c>
      <c r="L1166" s="55" t="s">
        <v>4514</v>
      </c>
      <c r="M1166" s="55" t="s">
        <v>4515</v>
      </c>
    </row>
    <row r="1167">
      <c r="A1167" s="55"/>
      <c r="B1167" s="54" t="s">
        <v>4485</v>
      </c>
      <c r="C1167" s="54" t="s">
        <v>4516</v>
      </c>
      <c r="D1167" s="54" t="s">
        <v>43</v>
      </c>
      <c r="E1167" s="55" t="s">
        <v>4517</v>
      </c>
      <c r="F1167" s="57">
        <f t="shared" si="58"/>
        <v>2</v>
      </c>
      <c r="G1167" s="54" t="s">
        <v>4518</v>
      </c>
      <c r="H1167" s="55"/>
      <c r="I1167" s="7" t="str">
        <f>IFERROR(__xludf.DUMMYFUNCTION("regexreplace(lower(C1167), ""_"", """")"),"wdrawsupportimagingstudy")</f>
        <v>wdrawsupportimagingstudy</v>
      </c>
      <c r="J1167" s="9" t="b">
        <f t="shared" si="2"/>
        <v>1</v>
      </c>
      <c r="K1167" s="7" t="str">
        <f>IFERROR(__xludf.DUMMYFUNCTION("regexreplace(G1167, ""_"", """")"),"wdrawsupportimagingstudy")</f>
        <v>wdrawsupportimagingstudy</v>
      </c>
      <c r="L1167" s="55" t="s">
        <v>4519</v>
      </c>
      <c r="M1167" s="55" t="s">
        <v>4520</v>
      </c>
    </row>
    <row r="1168">
      <c r="A1168" s="55"/>
      <c r="B1168" s="54" t="s">
        <v>4485</v>
      </c>
      <c r="C1168" s="54" t="s">
        <v>4521</v>
      </c>
      <c r="D1168" s="54" t="s">
        <v>43</v>
      </c>
      <c r="E1168" s="55" t="s">
        <v>4522</v>
      </c>
      <c r="F1168" s="57">
        <f t="shared" si="58"/>
        <v>2</v>
      </c>
      <c r="G1168" s="54" t="s">
        <v>4523</v>
      </c>
      <c r="H1168" s="55"/>
      <c r="I1168" s="7" t="str">
        <f>IFERROR(__xludf.DUMMYFUNCTION("regexreplace(lower(C1168), ""_"", """")"),"wdrawsupporteegfinding")</f>
        <v>wdrawsupporteegfinding</v>
      </c>
      <c r="J1168" s="9" t="b">
        <f t="shared" si="2"/>
        <v>1</v>
      </c>
      <c r="K1168" s="7" t="str">
        <f>IFERROR(__xludf.DUMMYFUNCTION("regexreplace(G1168, ""_"", """")"),"wdrawsupporteegfinding")</f>
        <v>wdrawsupporteegfinding</v>
      </c>
      <c r="L1168" s="55" t="s">
        <v>4524</v>
      </c>
      <c r="M1168" s="55" t="s">
        <v>4525</v>
      </c>
    </row>
    <row r="1169">
      <c r="A1169" s="55"/>
      <c r="B1169" s="54" t="s">
        <v>4485</v>
      </c>
      <c r="C1169" s="54" t="s">
        <v>4526</v>
      </c>
      <c r="D1169" s="54" t="s">
        <v>43</v>
      </c>
      <c r="E1169" s="55" t="s">
        <v>4527</v>
      </c>
      <c r="F1169" s="57">
        <f t="shared" si="58"/>
        <v>2</v>
      </c>
      <c r="G1169" s="54" t="s">
        <v>4528</v>
      </c>
      <c r="H1169" s="55"/>
      <c r="I1169" s="7" t="str">
        <f>IFERROR(__xludf.DUMMYFUNCTION("regexreplace(lower(C1169), ""_"", """")"),"wdrawsupportmultisystemorganfailureotherthancns")</f>
        <v>wdrawsupportmultisystemorganfailureotherthancns</v>
      </c>
      <c r="J1169" s="9" t="b">
        <f t="shared" si="2"/>
        <v>1</v>
      </c>
      <c r="K1169" s="7" t="str">
        <f>IFERROR(__xludf.DUMMYFUNCTION("regexreplace(G1169, ""_"", """")"),"wdrawsupportmultisystemorganfailureotherthancns")</f>
        <v>wdrawsupportmultisystemorganfailureotherthancns</v>
      </c>
      <c r="L1169" s="55" t="s">
        <v>4529</v>
      </c>
      <c r="M1169" s="55" t="s">
        <v>4530</v>
      </c>
    </row>
    <row r="1170">
      <c r="A1170" s="55"/>
      <c r="B1170" s="54" t="s">
        <v>4485</v>
      </c>
      <c r="C1170" s="54" t="s">
        <v>4531</v>
      </c>
      <c r="D1170" s="54" t="s">
        <v>43</v>
      </c>
      <c r="E1170" s="55" t="s">
        <v>4532</v>
      </c>
      <c r="F1170" s="57">
        <f t="shared" si="58"/>
        <v>2</v>
      </c>
      <c r="G1170" s="54" t="s">
        <v>4533</v>
      </c>
      <c r="H1170" s="55"/>
      <c r="I1170" s="7" t="str">
        <f>IFERROR(__xludf.DUMMYFUNCTION("regexreplace(lower(C1170), ""_"", """")"),"wdrawsupportbrainbloodflowscan")</f>
        <v>wdrawsupportbrainbloodflowscan</v>
      </c>
      <c r="J1170" s="9" t="b">
        <f t="shared" si="2"/>
        <v>1</v>
      </c>
      <c r="K1170" s="7" t="str">
        <f>IFERROR(__xludf.DUMMYFUNCTION("regexreplace(G1170, ""_"", """")"),"wdrawsupportbrainbloodflowscan")</f>
        <v>wdrawsupportbrainbloodflowscan</v>
      </c>
      <c r="L1170" s="55" t="s">
        <v>4534</v>
      </c>
      <c r="M1170" s="55" t="s">
        <v>4535</v>
      </c>
    </row>
    <row r="1171">
      <c r="A1171" s="55"/>
      <c r="B1171" s="54" t="s">
        <v>4485</v>
      </c>
      <c r="C1171" s="54" t="s">
        <v>4536</v>
      </c>
      <c r="D1171" s="54" t="s">
        <v>43</v>
      </c>
      <c r="E1171" s="55" t="s">
        <v>4537</v>
      </c>
      <c r="F1171" s="57">
        <f t="shared" si="58"/>
        <v>2</v>
      </c>
      <c r="G1171" s="54" t="s">
        <v>4538</v>
      </c>
      <c r="H1171" s="55"/>
      <c r="I1171" s="7" t="str">
        <f>IFERROR(__xludf.DUMMYFUNCTION("regexreplace(lower(C1171), ""_"", """")"),"wdrawsupportparentwish")</f>
        <v>wdrawsupportparentwish</v>
      </c>
      <c r="J1171" s="9" t="b">
        <f t="shared" si="2"/>
        <v>1</v>
      </c>
      <c r="K1171" s="7" t="str">
        <f>IFERROR(__xludf.DUMMYFUNCTION("regexreplace(G1171, ""_"", """")"),"wdrawsupportparentwish")</f>
        <v>wdrawsupportparentwish</v>
      </c>
      <c r="L1171" s="55" t="s">
        <v>4539</v>
      </c>
      <c r="M1171" s="55" t="s">
        <v>4540</v>
      </c>
    </row>
    <row r="1172">
      <c r="A1172" s="55"/>
      <c r="B1172" s="54" t="s">
        <v>4485</v>
      </c>
      <c r="C1172" s="54" t="s">
        <v>4541</v>
      </c>
      <c r="D1172" s="54" t="s">
        <v>43</v>
      </c>
      <c r="E1172" s="55" t="s">
        <v>4542</v>
      </c>
      <c r="F1172" s="57">
        <f t="shared" si="58"/>
        <v>2</v>
      </c>
      <c r="G1172" s="54" t="s">
        <v>4543</v>
      </c>
      <c r="H1172" s="55"/>
      <c r="I1172" s="7" t="str">
        <f>IFERROR(__xludf.DUMMYFUNCTION("regexreplace(lower(C1172), ""_"", """")"),"wdrawsupportother")</f>
        <v>wdrawsupportother</v>
      </c>
      <c r="J1172" s="9" t="b">
        <f t="shared" si="2"/>
        <v>1</v>
      </c>
      <c r="K1172" s="7" t="str">
        <f>IFERROR(__xludf.DUMMYFUNCTION("regexreplace(G1172, ""_"", """")"),"wdrawsupportother")</f>
        <v>wdrawsupportother</v>
      </c>
      <c r="L1172" s="55" t="s">
        <v>4544</v>
      </c>
      <c r="M1172" s="55" t="s">
        <v>4545</v>
      </c>
    </row>
    <row r="1173">
      <c r="A1173" s="55"/>
      <c r="B1173" s="54" t="s">
        <v>4485</v>
      </c>
      <c r="C1173" s="54" t="s">
        <v>4546</v>
      </c>
      <c r="D1173" s="54" t="s">
        <v>19</v>
      </c>
      <c r="E1173" s="55" t="s">
        <v>4547</v>
      </c>
      <c r="F1173" s="57">
        <f t="shared" si="58"/>
        <v>2</v>
      </c>
      <c r="G1173" s="54" t="s">
        <v>4548</v>
      </c>
      <c r="H1173" s="55"/>
      <c r="I1173" s="7" t="str">
        <f>IFERROR(__xludf.DUMMYFUNCTION("regexreplace(lower(C1173), ""_"", """")"),"wdrawsupportothertext")</f>
        <v>wdrawsupportothertext</v>
      </c>
      <c r="J1173" s="9" t="b">
        <f t="shared" si="2"/>
        <v>1</v>
      </c>
      <c r="K1173" s="7" t="str">
        <f>IFERROR(__xludf.DUMMYFUNCTION("regexreplace(G1173, ""_"", """")"),"wdrawsupportothertext")</f>
        <v>wdrawsupportothertext</v>
      </c>
      <c r="L1173" s="55" t="s">
        <v>4549</v>
      </c>
      <c r="M1173" s="55" t="s">
        <v>4550</v>
      </c>
    </row>
    <row r="1174">
      <c r="A1174" s="12"/>
      <c r="B1174" s="12"/>
      <c r="C1174" s="13"/>
      <c r="D1174" s="12"/>
      <c r="E1174" s="12"/>
      <c r="F1174" s="12"/>
      <c r="G1174" s="12" t="s">
        <v>913</v>
      </c>
      <c r="H1174" s="12"/>
      <c r="I1174" s="13" t="str">
        <f>IFERROR(__xludf.DUMMYFUNCTION("regexreplace(lower(C1174), ""_"", """")"),"")</f>
        <v/>
      </c>
      <c r="J1174" s="14" t="str">
        <f t="shared" si="2"/>
        <v/>
      </c>
      <c r="K1174" s="13" t="str">
        <f>IFERROR(__xludf.DUMMYFUNCTION("regexreplace(G1174, ""_"", """")"),"")</f>
        <v/>
      </c>
      <c r="L1174" s="12"/>
      <c r="M1174" s="12"/>
    </row>
    <row r="1175">
      <c r="A1175" s="54" t="s">
        <v>3778</v>
      </c>
      <c r="B1175" s="54" t="s">
        <v>4551</v>
      </c>
      <c r="C1175" s="54" t="s">
        <v>4552</v>
      </c>
      <c r="D1175" s="54" t="s">
        <v>43</v>
      </c>
      <c r="E1175" s="55" t="s">
        <v>4553</v>
      </c>
      <c r="F1175" s="57">
        <f t="shared" ref="F1175:F1185" si="59">counta(L1175:M1175)</f>
        <v>2</v>
      </c>
      <c r="G1175" s="54" t="s">
        <v>4554</v>
      </c>
      <c r="H1175" s="55"/>
      <c r="I1175" s="7" t="str">
        <f>IFERROR(__xludf.DUMMYFUNCTION("regexreplace(lower(C1175), ""_"", """")"),"limitcarediscussedwithfamily")</f>
        <v>limitcarediscussedwithfamily</v>
      </c>
      <c r="J1175" s="9" t="b">
        <f t="shared" si="2"/>
        <v>1</v>
      </c>
      <c r="K1175" s="7" t="str">
        <f>IFERROR(__xludf.DUMMYFUNCTION("regexreplace(G1175, ""_"", """")"),"limitcarediscussedwithfamily")</f>
        <v>limitcarediscussedwithfamily</v>
      </c>
      <c r="L1175" s="55" t="s">
        <v>4555</v>
      </c>
      <c r="M1175" s="55" t="s">
        <v>4556</v>
      </c>
    </row>
    <row r="1176">
      <c r="A1176" s="55"/>
      <c r="B1176" s="54" t="s">
        <v>4551</v>
      </c>
      <c r="C1176" s="54" t="s">
        <v>4557</v>
      </c>
      <c r="D1176" s="54" t="s">
        <v>43</v>
      </c>
      <c r="E1176" s="55" t="s">
        <v>4558</v>
      </c>
      <c r="F1176" s="57">
        <f t="shared" si="59"/>
        <v>2</v>
      </c>
      <c r="G1176" s="54" t="s">
        <v>4559</v>
      </c>
      <c r="H1176" s="55"/>
      <c r="I1176" s="7" t="str">
        <f>IFERROR(__xludf.DUMMYFUNCTION("regexreplace(lower(C1176), ""_"", """")"),"limitcarerecommendsolelybyclinicalteam")</f>
        <v>limitcarerecommendsolelybyclinicalteam</v>
      </c>
      <c r="J1176" s="9" t="b">
        <f t="shared" si="2"/>
        <v>1</v>
      </c>
      <c r="K1176" s="7" t="str">
        <f>IFERROR(__xludf.DUMMYFUNCTION("regexreplace(G1176, ""_"", """")"),"limitcarerecommendsolelybyclinicalteam")</f>
        <v>limitcarerecommendsolelybyclinicalteam</v>
      </c>
      <c r="L1176" s="55" t="s">
        <v>4560</v>
      </c>
      <c r="M1176" s="55" t="s">
        <v>4561</v>
      </c>
    </row>
    <row r="1177">
      <c r="A1177" s="55"/>
      <c r="B1177" s="54" t="s">
        <v>4551</v>
      </c>
      <c r="C1177" s="54" t="s">
        <v>4562</v>
      </c>
      <c r="D1177" s="54" t="s">
        <v>43</v>
      </c>
      <c r="E1177" s="55" t="s">
        <v>4563</v>
      </c>
      <c r="F1177" s="57">
        <f t="shared" si="59"/>
        <v>2</v>
      </c>
      <c r="G1177" s="54" t="s">
        <v>4564</v>
      </c>
      <c r="H1177" s="55"/>
      <c r="I1177" s="7" t="str">
        <f>IFERROR(__xludf.DUMMYFUNCTION("regexreplace(lower(C1177), ""_"", """")"),"limitcareagreedbyfamilyandcareteam")</f>
        <v>limitcareagreedbyfamilyandcareteam</v>
      </c>
      <c r="J1177" s="9" t="b">
        <f t="shared" si="2"/>
        <v>1</v>
      </c>
      <c r="K1177" s="7" t="str">
        <f>IFERROR(__xludf.DUMMYFUNCTION("regexreplace(G1177, ""_"", """")"),"limitcareagreedbyfamilyandcareteam")</f>
        <v>limitcareagreedbyfamilyandcareteam</v>
      </c>
      <c r="L1177" s="55" t="s">
        <v>4565</v>
      </c>
      <c r="M1177" s="55" t="s">
        <v>4566</v>
      </c>
    </row>
    <row r="1178">
      <c r="A1178" s="55"/>
      <c r="B1178" s="54" t="s">
        <v>4551</v>
      </c>
      <c r="C1178" s="54" t="s">
        <v>4567</v>
      </c>
      <c r="D1178" s="54" t="s">
        <v>43</v>
      </c>
      <c r="E1178" s="55" t="s">
        <v>4568</v>
      </c>
      <c r="F1178" s="57">
        <f t="shared" si="59"/>
        <v>2</v>
      </c>
      <c r="G1178" s="54" t="s">
        <v>4569</v>
      </c>
      <c r="H1178" s="55"/>
      <c r="I1178" s="7" t="str">
        <f>IFERROR(__xludf.DUMMYFUNCTION("regexreplace(lower(C1178), ""_"", """")"),"limitcarenofurthermechanicalventilationandintubation")</f>
        <v>limitcarenofurthermechanicalventilationandintubation</v>
      </c>
      <c r="J1178" s="9" t="b">
        <f t="shared" si="2"/>
        <v>1</v>
      </c>
      <c r="K1178" s="7" t="str">
        <f>IFERROR(__xludf.DUMMYFUNCTION("regexreplace(G1178, ""_"", """")"),"limitcarenofurthermechanicalventilationandintubation")</f>
        <v>limitcarenofurthermechanicalventilationandintubation</v>
      </c>
      <c r="L1178" s="55" t="s">
        <v>4570</v>
      </c>
      <c r="M1178" s="55" t="s">
        <v>4571</v>
      </c>
    </row>
    <row r="1179">
      <c r="A1179" s="55"/>
      <c r="B1179" s="54" t="s">
        <v>4551</v>
      </c>
      <c r="C1179" s="54" t="s">
        <v>4572</v>
      </c>
      <c r="D1179" s="54" t="s">
        <v>43</v>
      </c>
      <c r="E1179" s="55" t="s">
        <v>4573</v>
      </c>
      <c r="F1179" s="57">
        <f t="shared" si="59"/>
        <v>2</v>
      </c>
      <c r="G1179" s="54" t="s">
        <v>4574</v>
      </c>
      <c r="H1179" s="55"/>
      <c r="I1179" s="7" t="str">
        <f>IFERROR(__xludf.DUMMYFUNCTION("regexreplace(lower(C1179), ""_"", """")"),"limitcarenofurtherventilationwithbagandmask")</f>
        <v>limitcarenofurtherventilationwithbagandmask</v>
      </c>
      <c r="J1179" s="9" t="b">
        <f t="shared" si="2"/>
        <v>1</v>
      </c>
      <c r="K1179" s="7" t="str">
        <f>IFERROR(__xludf.DUMMYFUNCTION("regexreplace(G1179, ""_"", """")"),"limitcarenofurtherventilationwithbagandmask")</f>
        <v>limitcarenofurtherventilationwithbagandmask</v>
      </c>
      <c r="L1179" s="55" t="s">
        <v>4575</v>
      </c>
      <c r="M1179" s="55" t="s">
        <v>4576</v>
      </c>
    </row>
    <row r="1180">
      <c r="A1180" s="55"/>
      <c r="B1180" s="54" t="s">
        <v>4551</v>
      </c>
      <c r="C1180" s="54" t="s">
        <v>4577</v>
      </c>
      <c r="D1180" s="54" t="s">
        <v>43</v>
      </c>
      <c r="E1180" s="55" t="s">
        <v>4578</v>
      </c>
      <c r="F1180" s="57">
        <f t="shared" si="59"/>
        <v>2</v>
      </c>
      <c r="G1180" s="54" t="s">
        <v>4579</v>
      </c>
      <c r="H1180" s="55"/>
      <c r="I1180" s="7" t="str">
        <f>IFERROR(__xludf.DUMMYFUNCTION("regexreplace(lower(C1180), ""_"", """")"),"limitcarenofurthermedicationstosupportbp")</f>
        <v>limitcarenofurthermedicationstosupportbp</v>
      </c>
      <c r="J1180" s="9" t="b">
        <f t="shared" si="2"/>
        <v>1</v>
      </c>
      <c r="K1180" s="7" t="str">
        <f>IFERROR(__xludf.DUMMYFUNCTION("regexreplace(G1180, ""_"", """")"),"limitcarenofurthermedicationstosupportbp")</f>
        <v>limitcarenofurthermedicationstosupportbp</v>
      </c>
      <c r="L1180" s="55" t="s">
        <v>4580</v>
      </c>
      <c r="M1180" s="55" t="s">
        <v>4581</v>
      </c>
    </row>
    <row r="1181">
      <c r="A1181" s="55"/>
      <c r="B1181" s="54" t="s">
        <v>4551</v>
      </c>
      <c r="C1181" s="54" t="s">
        <v>4582</v>
      </c>
      <c r="D1181" s="54" t="s">
        <v>43</v>
      </c>
      <c r="E1181" s="55" t="s">
        <v>4583</v>
      </c>
      <c r="F1181" s="57">
        <f t="shared" si="59"/>
        <v>2</v>
      </c>
      <c r="G1181" s="54" t="s">
        <v>4584</v>
      </c>
      <c r="H1181" s="55"/>
      <c r="I1181" s="7" t="str">
        <f>IFERROR(__xludf.DUMMYFUNCTION("regexreplace(lower(C1181), ""_"", """")"),"limitcarenofurtherchestcompression")</f>
        <v>limitcarenofurtherchestcompression</v>
      </c>
      <c r="J1181" s="9" t="b">
        <f t="shared" si="2"/>
        <v>1</v>
      </c>
      <c r="K1181" s="7" t="str">
        <f>IFERROR(__xludf.DUMMYFUNCTION("regexreplace(G1181, ""_"", """")"),"limitcarenofurtherchestcompression")</f>
        <v>limitcarenofurtherchestcompression</v>
      </c>
      <c r="L1181" s="55" t="s">
        <v>4585</v>
      </c>
      <c r="M1181" s="55" t="s">
        <v>4586</v>
      </c>
    </row>
    <row r="1182">
      <c r="A1182" s="55"/>
      <c r="B1182" s="54" t="s">
        <v>4551</v>
      </c>
      <c r="C1182" s="54" t="s">
        <v>4587</v>
      </c>
      <c r="D1182" s="54" t="s">
        <v>43</v>
      </c>
      <c r="E1182" s="55" t="s">
        <v>4588</v>
      </c>
      <c r="F1182" s="57">
        <f t="shared" si="59"/>
        <v>2</v>
      </c>
      <c r="G1182" s="54" t="s">
        <v>4589</v>
      </c>
      <c r="H1182" s="55"/>
      <c r="I1182" s="7" t="str">
        <f>IFERROR(__xludf.DUMMYFUNCTION("regexreplace(lower(C1182), ""_"", """")"),"limitcarenofurtheremergencymedication")</f>
        <v>limitcarenofurtheremergencymedication</v>
      </c>
      <c r="J1182" s="9" t="b">
        <f t="shared" si="2"/>
        <v>1</v>
      </c>
      <c r="K1182" s="7" t="str">
        <f>IFERROR(__xludf.DUMMYFUNCTION("regexreplace(G1182, ""_"", """")"),"limitcarenofurtheremergencymedication")</f>
        <v>limitcarenofurtheremergencymedication</v>
      </c>
      <c r="L1182" s="55" t="s">
        <v>4590</v>
      </c>
      <c r="M1182" s="55" t="s">
        <v>4591</v>
      </c>
    </row>
    <row r="1183">
      <c r="A1183" s="55"/>
      <c r="B1183" s="54" t="s">
        <v>4551</v>
      </c>
      <c r="C1183" s="54" t="s">
        <v>4592</v>
      </c>
      <c r="D1183" s="54" t="s">
        <v>43</v>
      </c>
      <c r="E1183" s="55" t="s">
        <v>4593</v>
      </c>
      <c r="F1183" s="57">
        <f t="shared" si="59"/>
        <v>2</v>
      </c>
      <c r="G1183" s="54" t="s">
        <v>4594</v>
      </c>
      <c r="H1183" s="55"/>
      <c r="I1183" s="7" t="str">
        <f>IFERROR(__xludf.DUMMYFUNCTION("regexreplace(lower(C1183), ""_"", """")"),"limitcarednr")</f>
        <v>limitcarednr</v>
      </c>
      <c r="J1183" s="9" t="b">
        <f t="shared" si="2"/>
        <v>1</v>
      </c>
      <c r="K1183" s="7" t="str">
        <f>IFERROR(__xludf.DUMMYFUNCTION("regexreplace(G1183, ""_"", """")"),"limitcarednr")</f>
        <v>limitcarednr</v>
      </c>
      <c r="L1183" s="55" t="s">
        <v>4595</v>
      </c>
      <c r="M1183" s="55" t="s">
        <v>4596</v>
      </c>
    </row>
    <row r="1184">
      <c r="A1184" s="55"/>
      <c r="B1184" s="54" t="s">
        <v>4551</v>
      </c>
      <c r="C1184" s="54" t="s">
        <v>4597</v>
      </c>
      <c r="D1184" s="54" t="s">
        <v>29</v>
      </c>
      <c r="E1184" s="55" t="s">
        <v>4598</v>
      </c>
      <c r="F1184" s="57">
        <f t="shared" si="59"/>
        <v>2</v>
      </c>
      <c r="G1184" s="54" t="s">
        <v>4599</v>
      </c>
      <c r="H1184" s="55"/>
      <c r="I1184" s="7" t="str">
        <f>IFERROR(__xludf.DUMMYFUNCTION("regexreplace(lower(C1184), ""_"", """")"),"limitcarednrdate")</f>
        <v>limitcarednrdate</v>
      </c>
      <c r="J1184" s="9" t="b">
        <f t="shared" si="2"/>
        <v>1</v>
      </c>
      <c r="K1184" s="7" t="str">
        <f>IFERROR(__xludf.DUMMYFUNCTION("regexreplace(G1184, ""_"", """")"),"limitcarednrdate")</f>
        <v>limitcarednrdate</v>
      </c>
      <c r="L1184" s="55" t="s">
        <v>4600</v>
      </c>
      <c r="M1184" s="55" t="s">
        <v>4601</v>
      </c>
    </row>
    <row r="1185">
      <c r="A1185" s="55"/>
      <c r="B1185" s="54" t="s">
        <v>4551</v>
      </c>
      <c r="C1185" s="54" t="s">
        <v>4602</v>
      </c>
      <c r="D1185" s="54" t="s">
        <v>148</v>
      </c>
      <c r="E1185" s="55" t="s">
        <v>4603</v>
      </c>
      <c r="F1185" s="57">
        <f t="shared" si="59"/>
        <v>2</v>
      </c>
      <c r="G1185" s="54" t="s">
        <v>4604</v>
      </c>
      <c r="H1185" s="55"/>
      <c r="I1185" s="7" t="str">
        <f>IFERROR(__xludf.DUMMYFUNCTION("regexreplace(lower(C1185), ""_"", """")"),"limitcarednrtime")</f>
        <v>limitcarednrtime</v>
      </c>
      <c r="J1185" s="9" t="b">
        <f t="shared" si="2"/>
        <v>1</v>
      </c>
      <c r="K1185" s="7" t="str">
        <f>IFERROR(__xludf.DUMMYFUNCTION("regexreplace(G1185, ""_"", """")"),"limitcarednrtime")</f>
        <v>limitcarednrtime</v>
      </c>
      <c r="L1185" s="55" t="s">
        <v>4605</v>
      </c>
      <c r="M1185" s="55" t="s">
        <v>4606</v>
      </c>
    </row>
    <row r="1186">
      <c r="A1186" s="12"/>
      <c r="B1186" s="12"/>
      <c r="C1186" s="13"/>
      <c r="D1186" s="12"/>
      <c r="E1186" s="12"/>
      <c r="F1186" s="12"/>
      <c r="G1186" s="12"/>
      <c r="H1186" s="12"/>
      <c r="I1186" s="13" t="str">
        <f>IFERROR(__xludf.DUMMYFUNCTION("regexreplace(lower(C1186), ""_"", """")"),"")</f>
        <v/>
      </c>
      <c r="J1186" s="14" t="str">
        <f t="shared" si="2"/>
        <v/>
      </c>
      <c r="K1186" s="13" t="str">
        <f>IFERROR(__xludf.DUMMYFUNCTION("regexreplace(G1186, ""_"", """")"),"")</f>
        <v/>
      </c>
      <c r="L1186" s="12"/>
      <c r="M1186" s="12"/>
    </row>
    <row r="1187">
      <c r="A1187" s="68" t="s">
        <v>4607</v>
      </c>
      <c r="B1187" s="69" t="s">
        <v>14</v>
      </c>
      <c r="C1187" s="68" t="s">
        <v>4608</v>
      </c>
      <c r="D1187" s="68" t="s">
        <v>15</v>
      </c>
      <c r="E1187" s="70" t="s">
        <v>15</v>
      </c>
      <c r="F1187" s="71">
        <f t="shared" ref="F1187:F1195" si="60">counta(L1187:M1187)</f>
        <v>2</v>
      </c>
      <c r="G1187" s="68" t="s">
        <v>4609</v>
      </c>
      <c r="H1187" s="70"/>
      <c r="I1187" s="7" t="str">
        <f>IFERROR(__xludf.DUMMYFUNCTION("regexreplace(lower(C1187), ""_"", """")"),"followupcenter")</f>
        <v>followupcenter</v>
      </c>
      <c r="J1187" s="9" t="b">
        <f t="shared" si="2"/>
        <v>1</v>
      </c>
      <c r="K1187" s="7" t="str">
        <f>IFERROR(__xludf.DUMMYFUNCTION("regexreplace(G1187, ""_"", """")"),"followupcenter")</f>
        <v>followupcenter</v>
      </c>
      <c r="L1187" s="70" t="s">
        <v>17</v>
      </c>
      <c r="M1187" s="70" t="s">
        <v>17</v>
      </c>
    </row>
    <row r="1188">
      <c r="A1188" s="70"/>
      <c r="B1188" s="69" t="s">
        <v>14</v>
      </c>
      <c r="C1188" s="68" t="s">
        <v>24</v>
      </c>
      <c r="D1188" s="68" t="s">
        <v>19</v>
      </c>
      <c r="E1188" s="70" t="s">
        <v>4610</v>
      </c>
      <c r="F1188" s="71">
        <f t="shared" si="60"/>
        <v>2</v>
      </c>
      <c r="G1188" s="68" t="s">
        <v>26</v>
      </c>
      <c r="H1188" s="70"/>
      <c r="I1188" s="7" t="str">
        <f>IFERROR(__xludf.DUMMYFUNCTION("regexreplace(lower(C1188), ""_"", """")"),"siteid")</f>
        <v>siteid</v>
      </c>
      <c r="J1188" s="9" t="b">
        <f t="shared" si="2"/>
        <v>1</v>
      </c>
      <c r="K1188" s="7" t="str">
        <f>IFERROR(__xludf.DUMMYFUNCTION("regexreplace(G1188, ""_"", """")"),"siteid")</f>
        <v>siteid</v>
      </c>
      <c r="L1188" s="70" t="s">
        <v>27</v>
      </c>
      <c r="M1188" s="70" t="s">
        <v>27</v>
      </c>
    </row>
    <row r="1189">
      <c r="A1189" s="70"/>
      <c r="B1189" s="68" t="s">
        <v>4607</v>
      </c>
      <c r="C1189" s="68" t="s">
        <v>28</v>
      </c>
      <c r="D1189" s="68" t="s">
        <v>29</v>
      </c>
      <c r="E1189" s="70" t="s">
        <v>30</v>
      </c>
      <c r="F1189" s="71">
        <f t="shared" si="60"/>
        <v>2</v>
      </c>
      <c r="G1189" s="68" t="s">
        <v>31</v>
      </c>
      <c r="H1189" s="70"/>
      <c r="I1189" s="7" t="str">
        <f>IFERROR(__xludf.DUMMYFUNCTION("regexreplace(lower(C1189), ""_"", """")"),"birthdate")</f>
        <v>birthdate</v>
      </c>
      <c r="J1189" s="9" t="b">
        <f t="shared" si="2"/>
        <v>1</v>
      </c>
      <c r="K1189" s="7" t="str">
        <f>IFERROR(__xludf.DUMMYFUNCTION("regexreplace(G1189, ""_"", """")"),"birthdate")</f>
        <v>birthdate</v>
      </c>
      <c r="L1189" s="70" t="s">
        <v>32</v>
      </c>
      <c r="M1189" s="70" t="s">
        <v>32</v>
      </c>
    </row>
    <row r="1190">
      <c r="A1190" s="70"/>
      <c r="B1190" s="68" t="s">
        <v>4607</v>
      </c>
      <c r="C1190" s="68" t="s">
        <v>4611</v>
      </c>
      <c r="D1190" s="68" t="s">
        <v>29</v>
      </c>
      <c r="E1190" s="70" t="s">
        <v>4612</v>
      </c>
      <c r="F1190" s="71">
        <f t="shared" si="60"/>
        <v>2</v>
      </c>
      <c r="G1190" s="68" t="s">
        <v>4613</v>
      </c>
      <c r="H1190" s="70"/>
      <c r="I1190" s="7" t="str">
        <f>IFERROR(__xludf.DUMMYFUNCTION("regexreplace(lower(C1190), ""_"", """")"),"visitdate")</f>
        <v>visitdate</v>
      </c>
      <c r="J1190" s="9" t="b">
        <f t="shared" si="2"/>
        <v>1</v>
      </c>
      <c r="K1190" s="7" t="str">
        <f>IFERROR(__xludf.DUMMYFUNCTION("regexreplace(G1190, ""_"", """")"),"visitdate")</f>
        <v>visitdate</v>
      </c>
      <c r="L1190" s="70" t="s">
        <v>4614</v>
      </c>
      <c r="M1190" s="70" t="s">
        <v>4614</v>
      </c>
    </row>
    <row r="1191">
      <c r="A1191" s="70"/>
      <c r="B1191" s="68" t="s">
        <v>4607</v>
      </c>
      <c r="C1191" s="68" t="s">
        <v>33</v>
      </c>
      <c r="D1191" s="68" t="s">
        <v>34</v>
      </c>
      <c r="E1191" s="70" t="s">
        <v>35</v>
      </c>
      <c r="F1191" s="71">
        <f t="shared" si="60"/>
        <v>2</v>
      </c>
      <c r="G1191" s="68" t="s">
        <v>36</v>
      </c>
      <c r="H1191" s="70"/>
      <c r="I1191" s="7" t="str">
        <f>IFERROR(__xludf.DUMMYFUNCTION("regexreplace(lower(C1191), ""_"", """")"),"birthnumber")</f>
        <v>birthnumber</v>
      </c>
      <c r="J1191" s="9" t="b">
        <f t="shared" si="2"/>
        <v>1</v>
      </c>
      <c r="K1191" s="7" t="str">
        <f>IFERROR(__xludf.DUMMYFUNCTION("regexreplace(G1191, ""_"", """")"),"birthnumber")</f>
        <v>birthnumber</v>
      </c>
      <c r="L1191" s="70" t="s">
        <v>37</v>
      </c>
      <c r="M1191" s="70" t="s">
        <v>37</v>
      </c>
    </row>
    <row r="1192">
      <c r="A1192" s="70"/>
      <c r="B1192" s="69" t="s">
        <v>14</v>
      </c>
      <c r="C1192" s="68" t="s">
        <v>15</v>
      </c>
      <c r="D1192" s="68" t="s">
        <v>15</v>
      </c>
      <c r="E1192" s="70" t="s">
        <v>4615</v>
      </c>
      <c r="F1192" s="71">
        <f t="shared" si="60"/>
        <v>2</v>
      </c>
      <c r="G1192" s="68" t="s">
        <v>15</v>
      </c>
      <c r="H1192" s="70"/>
      <c r="I1192" s="7" t="str">
        <f>IFERROR(__xludf.DUMMYFUNCTION("regexreplace(lower(C1192), ""_"", """")"),"center")</f>
        <v>center</v>
      </c>
      <c r="J1192" s="9" t="b">
        <f t="shared" si="2"/>
        <v>1</v>
      </c>
      <c r="K1192" s="7" t="str">
        <f>IFERROR(__xludf.DUMMYFUNCTION("regexreplace(G1192, ""_"", """")"),"center")</f>
        <v>center</v>
      </c>
      <c r="L1192" s="70" t="s">
        <v>4616</v>
      </c>
      <c r="M1192" s="70" t="s">
        <v>4616</v>
      </c>
    </row>
    <row r="1193">
      <c r="A1193" s="70"/>
      <c r="B1193" s="69" t="s">
        <v>14</v>
      </c>
      <c r="C1193" s="68" t="s">
        <v>18</v>
      </c>
      <c r="D1193" s="68" t="s">
        <v>19</v>
      </c>
      <c r="E1193" s="70" t="s">
        <v>4617</v>
      </c>
      <c r="F1193" s="71">
        <f t="shared" si="60"/>
        <v>2</v>
      </c>
      <c r="G1193" s="68" t="s">
        <v>21</v>
      </c>
      <c r="H1193" s="70"/>
      <c r="I1193" s="7" t="str">
        <f>IFERROR(__xludf.DUMMYFUNCTION("regexreplace(lower(C1193), ""_"", """")"),"subjectid")</f>
        <v>subjectid</v>
      </c>
      <c r="J1193" s="9" t="b">
        <f t="shared" si="2"/>
        <v>1</v>
      </c>
      <c r="K1193" s="7" t="str">
        <f>IFERROR(__xludf.DUMMYFUNCTION("regexreplace(G1193, ""_"", """")"),"subjectid")</f>
        <v>subjectid</v>
      </c>
      <c r="L1193" s="70" t="s">
        <v>22</v>
      </c>
      <c r="M1193" s="70" t="s">
        <v>22</v>
      </c>
    </row>
    <row r="1194">
      <c r="A1194" s="70"/>
      <c r="B1194" s="69" t="s">
        <v>14</v>
      </c>
      <c r="C1194" s="68" t="s">
        <v>4618</v>
      </c>
      <c r="D1194" s="68" t="s">
        <v>19</v>
      </c>
      <c r="E1194" s="70" t="s">
        <v>4619</v>
      </c>
      <c r="F1194" s="71">
        <f t="shared" si="60"/>
        <v>2</v>
      </c>
      <c r="G1194" s="68" t="s">
        <v>4620</v>
      </c>
      <c r="H1194" s="70"/>
      <c r="I1194" s="7" t="str">
        <f>IFERROR(__xludf.DUMMYFUNCTION("regexreplace(lower(C1194), ""_"", """")"),"followupid")</f>
        <v>followupid</v>
      </c>
      <c r="J1194" s="9" t="b">
        <f t="shared" si="2"/>
        <v>1</v>
      </c>
      <c r="K1194" s="7" t="str">
        <f>IFERROR(__xludf.DUMMYFUNCTION("regexreplace(G1194, ""_"", """")"),"followupid")</f>
        <v>followupid</v>
      </c>
      <c r="L1194" s="70" t="s">
        <v>4621</v>
      </c>
      <c r="M1194" s="70" t="s">
        <v>4621</v>
      </c>
    </row>
    <row r="1195">
      <c r="A1195" s="70"/>
      <c r="B1195" s="68" t="s">
        <v>4607</v>
      </c>
      <c r="C1195" s="68" t="s">
        <v>4622</v>
      </c>
      <c r="D1195" s="68" t="s">
        <v>19</v>
      </c>
      <c r="E1195" s="70"/>
      <c r="F1195" s="71">
        <f t="shared" si="60"/>
        <v>0</v>
      </c>
      <c r="G1195" s="68" t="s">
        <v>4622</v>
      </c>
      <c r="H1195" s="70"/>
      <c r="I1195" s="7" t="str">
        <f>IFERROR(__xludf.DUMMYFUNCTION("regexreplace(lower(C1195), ""_"", """")"),"centerorig")</f>
        <v>centerorig</v>
      </c>
      <c r="J1195" s="9" t="b">
        <f t="shared" si="2"/>
        <v>1</v>
      </c>
      <c r="K1195" s="7" t="str">
        <f>IFERROR(__xludf.DUMMYFUNCTION("regexreplace(G1195, ""_"", """")"),"centerorig")</f>
        <v>centerorig</v>
      </c>
      <c r="L1195" s="70"/>
      <c r="M1195" s="70"/>
    </row>
    <row r="1196">
      <c r="A1196" s="12"/>
      <c r="B1196" s="12"/>
      <c r="C1196" s="13"/>
      <c r="D1196" s="12"/>
      <c r="E1196" s="12"/>
      <c r="F1196" s="12"/>
      <c r="G1196" s="12"/>
      <c r="H1196" s="12"/>
      <c r="I1196" s="13" t="str">
        <f>IFERROR(__xludf.DUMMYFUNCTION("regexreplace(lower(C1196), ""_"", """")"),"")</f>
        <v/>
      </c>
      <c r="J1196" s="14" t="str">
        <f t="shared" si="2"/>
        <v/>
      </c>
      <c r="K1196" s="13" t="str">
        <f>IFERROR(__xludf.DUMMYFUNCTION("regexreplace(G1196, ""_"", """")"),"")</f>
        <v/>
      </c>
      <c r="L1196" s="12"/>
      <c r="M1196" s="12"/>
    </row>
    <row r="1197">
      <c r="A1197" s="68" t="s">
        <v>4607</v>
      </c>
      <c r="B1197" s="68" t="s">
        <v>4623</v>
      </c>
      <c r="C1197" s="68" t="s">
        <v>4624</v>
      </c>
      <c r="D1197" s="68" t="s">
        <v>29</v>
      </c>
      <c r="E1197" s="70" t="s">
        <v>4625</v>
      </c>
      <c r="F1197" s="71">
        <f t="shared" ref="F1197:F1269" si="61">counta(L1197:M1197)</f>
        <v>2</v>
      </c>
      <c r="G1197" s="68" t="s">
        <v>4626</v>
      </c>
      <c r="H1197" s="70"/>
      <c r="I1197" s="7" t="str">
        <f>IFERROR(__xludf.DUMMYFUNCTION("regexreplace(lower(C1197), ""_"", """")"),"sesvisitdate")</f>
        <v>sesvisitdate</v>
      </c>
      <c r="J1197" s="9" t="b">
        <f t="shared" si="2"/>
        <v>1</v>
      </c>
      <c r="K1197" s="7" t="str">
        <f>IFERROR(__xludf.DUMMYFUNCTION("regexreplace(G1197, ""_"", """")"),"sesvisitdate")</f>
        <v>sesvisitdate</v>
      </c>
      <c r="L1197" s="70" t="s">
        <v>4627</v>
      </c>
      <c r="M1197" s="70" t="s">
        <v>4627</v>
      </c>
    </row>
    <row r="1198">
      <c r="A1198" s="70"/>
      <c r="B1198" s="68" t="s">
        <v>4623</v>
      </c>
      <c r="C1198" s="68" t="s">
        <v>4628</v>
      </c>
      <c r="D1198" s="68" t="s">
        <v>29</v>
      </c>
      <c r="E1198" s="70" t="s">
        <v>4629</v>
      </c>
      <c r="F1198" s="71">
        <f t="shared" si="61"/>
        <v>2</v>
      </c>
      <c r="G1198" s="68" t="s">
        <v>4630</v>
      </c>
      <c r="H1198" s="70"/>
      <c r="I1198" s="7" t="str">
        <f>IFERROR(__xludf.DUMMYFUNCTION("regexreplace(lower(C1198), ""_"", """")"),"sesbirthdate")</f>
        <v>sesbirthdate</v>
      </c>
      <c r="J1198" s="9" t="b">
        <f t="shared" si="2"/>
        <v>1</v>
      </c>
      <c r="K1198" s="7" t="str">
        <f>IFERROR(__xludf.DUMMYFUNCTION("regexreplace(G1198, ""_"", """")"),"sesbirthdate")</f>
        <v>sesbirthdate</v>
      </c>
      <c r="L1198" s="70" t="s">
        <v>4631</v>
      </c>
      <c r="M1198" s="70" t="s">
        <v>4631</v>
      </c>
    </row>
    <row r="1199">
      <c r="A1199" s="70"/>
      <c r="B1199" s="68" t="s">
        <v>4623</v>
      </c>
      <c r="C1199" s="68" t="s">
        <v>4632</v>
      </c>
      <c r="D1199" s="68" t="s">
        <v>34</v>
      </c>
      <c r="E1199" s="70" t="s">
        <v>4633</v>
      </c>
      <c r="F1199" s="71">
        <f t="shared" si="61"/>
        <v>2</v>
      </c>
      <c r="G1199" s="68" t="s">
        <v>4634</v>
      </c>
      <c r="H1199" s="70"/>
      <c r="I1199" s="7" t="str">
        <f>IFERROR(__xludf.DUMMYFUNCTION("regexreplace(lower(C1199), ""_"", """")"),"chronologicalagemo")</f>
        <v>chronologicalagemo</v>
      </c>
      <c r="J1199" s="9" t="b">
        <f t="shared" si="2"/>
        <v>1</v>
      </c>
      <c r="K1199" s="7" t="str">
        <f>IFERROR(__xludf.DUMMYFUNCTION("regexreplace(G1199, ""_"", """")"),"chronologicalagemo")</f>
        <v>chronologicalagemo</v>
      </c>
      <c r="L1199" s="70" t="s">
        <v>4635</v>
      </c>
      <c r="M1199" s="70" t="s">
        <v>4635</v>
      </c>
    </row>
    <row r="1200">
      <c r="A1200" s="70"/>
      <c r="B1200" s="68" t="s">
        <v>4623</v>
      </c>
      <c r="C1200" s="68" t="s">
        <v>4636</v>
      </c>
      <c r="D1200" s="68" t="s">
        <v>34</v>
      </c>
      <c r="E1200" s="70" t="s">
        <v>4637</v>
      </c>
      <c r="F1200" s="71">
        <f t="shared" si="61"/>
        <v>2</v>
      </c>
      <c r="G1200" s="68" t="s">
        <v>4638</v>
      </c>
      <c r="H1200" s="70"/>
      <c r="I1200" s="7" t="str">
        <f>IFERROR(__xludf.DUMMYFUNCTION("regexreplace(lower(C1200), ""_"", """")"),"correctedagemo")</f>
        <v>correctedagemo</v>
      </c>
      <c r="J1200" s="9" t="b">
        <f t="shared" si="2"/>
        <v>1</v>
      </c>
      <c r="K1200" s="7" t="str">
        <f>IFERROR(__xludf.DUMMYFUNCTION("regexreplace(G1200, ""_"", """")"),"correctedagemo")</f>
        <v>correctedagemo</v>
      </c>
      <c r="L1200" s="70" t="s">
        <v>4639</v>
      </c>
      <c r="M1200" s="70" t="s">
        <v>4639</v>
      </c>
    </row>
    <row r="1201">
      <c r="A1201" s="70"/>
      <c r="B1201" s="68" t="s">
        <v>4623</v>
      </c>
      <c r="C1201" s="68" t="s">
        <v>4640</v>
      </c>
      <c r="D1201" s="68" t="s">
        <v>43</v>
      </c>
      <c r="E1201" s="70" t="s">
        <v>4641</v>
      </c>
      <c r="F1201" s="71">
        <f t="shared" si="61"/>
        <v>2</v>
      </c>
      <c r="G1201" s="68" t="s">
        <v>4642</v>
      </c>
      <c r="H1201" s="70"/>
      <c r="I1201" s="7" t="str">
        <f>IFERROR(__xludf.DUMMYFUNCTION("regexreplace(lower(C1201), ""_"", """")"),"understatesupervision")</f>
        <v>understatesupervision</v>
      </c>
      <c r="J1201" s="9" t="b">
        <f t="shared" si="2"/>
        <v>1</v>
      </c>
      <c r="K1201" s="7" t="str">
        <f>IFERROR(__xludf.DUMMYFUNCTION("regexreplace(G1201, ""_"", """")"),"understatesupervision")</f>
        <v>understatesupervision</v>
      </c>
      <c r="L1201" s="70" t="s">
        <v>4643</v>
      </c>
      <c r="M1201" s="70" t="s">
        <v>4643</v>
      </c>
    </row>
    <row r="1202">
      <c r="A1202" s="70"/>
      <c r="B1202" s="68" t="s">
        <v>4623</v>
      </c>
      <c r="C1202" s="68" t="s">
        <v>4644</v>
      </c>
      <c r="D1202" s="68" t="s">
        <v>4645</v>
      </c>
      <c r="E1202" s="70" t="s">
        <v>4646</v>
      </c>
      <c r="F1202" s="71">
        <f t="shared" si="61"/>
        <v>2</v>
      </c>
      <c r="G1202" s="68" t="s">
        <v>4647</v>
      </c>
      <c r="H1202" s="70"/>
      <c r="I1202" s="7" t="str">
        <f>IFERROR(__xludf.DUMMYFUNCTION("regexreplace(lower(C1202), ""_"", """")"),"primarycaretaker")</f>
        <v>primarycaretaker</v>
      </c>
      <c r="J1202" s="9" t="b">
        <f t="shared" si="2"/>
        <v>1</v>
      </c>
      <c r="K1202" s="7" t="str">
        <f>IFERROR(__xludf.DUMMYFUNCTION("regexreplace(G1202, ""_"", """")"),"primarycaretaker")</f>
        <v>primarycaretaker</v>
      </c>
      <c r="L1202" s="70" t="s">
        <v>4648</v>
      </c>
      <c r="M1202" s="70" t="s">
        <v>4648</v>
      </c>
    </row>
    <row r="1203">
      <c r="A1203" s="70"/>
      <c r="B1203" s="68" t="s">
        <v>4623</v>
      </c>
      <c r="C1203" s="68" t="s">
        <v>4649</v>
      </c>
      <c r="D1203" s="68" t="s">
        <v>4645</v>
      </c>
      <c r="E1203" s="70" t="s">
        <v>4650</v>
      </c>
      <c r="F1203" s="71">
        <f t="shared" si="61"/>
        <v>2</v>
      </c>
      <c r="G1203" s="68" t="s">
        <v>4651</v>
      </c>
      <c r="H1203" s="70"/>
      <c r="I1203" s="7" t="str">
        <f>IFERROR(__xludf.DUMMYFUNCTION("regexreplace(lower(C1203), ""_"", """")"),"othercaretaker")</f>
        <v>othercaretaker</v>
      </c>
      <c r="J1203" s="9" t="b">
        <f t="shared" si="2"/>
        <v>1</v>
      </c>
      <c r="K1203" s="7" t="str">
        <f>IFERROR(__xludf.DUMMYFUNCTION("regexreplace(G1203, ""_"", """")"),"othercaretaker")</f>
        <v>othercaretaker</v>
      </c>
      <c r="L1203" s="70" t="s">
        <v>4652</v>
      </c>
      <c r="M1203" s="70" t="s">
        <v>4652</v>
      </c>
    </row>
    <row r="1204">
      <c r="A1204" s="70"/>
      <c r="B1204" s="68" t="s">
        <v>4623</v>
      </c>
      <c r="C1204" s="68" t="s">
        <v>4653</v>
      </c>
      <c r="D1204" s="68" t="s">
        <v>268</v>
      </c>
      <c r="E1204" s="70" t="s">
        <v>4654</v>
      </c>
      <c r="F1204" s="71">
        <f t="shared" si="61"/>
        <v>2</v>
      </c>
      <c r="G1204" s="68" t="s">
        <v>4655</v>
      </c>
      <c r="H1204" s="70"/>
      <c r="I1204" s="7" t="str">
        <f>IFERROR(__xludf.DUMMYFUNCTION("regexreplace(lower(C1204), ""_"", """")"),"maritalstatusprimarycaretaker")</f>
        <v>maritalstatusprimarycaretaker</v>
      </c>
      <c r="J1204" s="9" t="b">
        <f t="shared" si="2"/>
        <v>1</v>
      </c>
      <c r="K1204" s="7" t="str">
        <f>IFERROR(__xludf.DUMMYFUNCTION("regexreplace(G1204, ""_"", """")"),"maritalstatusprimarycaretaker")</f>
        <v>maritalstatusprimarycaretaker</v>
      </c>
      <c r="L1204" s="70" t="s">
        <v>4656</v>
      </c>
      <c r="M1204" s="70" t="s">
        <v>4656</v>
      </c>
    </row>
    <row r="1205">
      <c r="A1205" s="70"/>
      <c r="B1205" s="68" t="s">
        <v>4623</v>
      </c>
      <c r="C1205" s="68" t="s">
        <v>4657</v>
      </c>
      <c r="D1205" s="68" t="s">
        <v>4658</v>
      </c>
      <c r="E1205" s="70" t="s">
        <v>4659</v>
      </c>
      <c r="F1205" s="71">
        <f t="shared" si="61"/>
        <v>2</v>
      </c>
      <c r="G1205" s="68" t="s">
        <v>4660</v>
      </c>
      <c r="H1205" s="70"/>
      <c r="I1205" s="7" t="str">
        <f>IFERROR(__xludf.DUMMYFUNCTION("regexreplace(lower(C1205), ""_"", """")"),"livingarrangementchild")</f>
        <v>livingarrangementchild</v>
      </c>
      <c r="J1205" s="9" t="b">
        <f t="shared" si="2"/>
        <v>1</v>
      </c>
      <c r="K1205" s="7" t="str">
        <f>IFERROR(__xludf.DUMMYFUNCTION("regexreplace(G1205, ""_"", """")"),"livingarrangementchild")</f>
        <v>livingarrangementchild</v>
      </c>
      <c r="L1205" s="70" t="s">
        <v>4661</v>
      </c>
      <c r="M1205" s="70" t="s">
        <v>4661</v>
      </c>
    </row>
    <row r="1206">
      <c r="A1206" s="70"/>
      <c r="B1206" s="68" t="s">
        <v>4623</v>
      </c>
      <c r="C1206" s="68" t="s">
        <v>4662</v>
      </c>
      <c r="D1206" s="68" t="s">
        <v>34</v>
      </c>
      <c r="E1206" s="70" t="s">
        <v>4663</v>
      </c>
      <c r="F1206" s="71">
        <f t="shared" si="61"/>
        <v>2</v>
      </c>
      <c r="G1206" s="68" t="s">
        <v>4664</v>
      </c>
      <c r="H1206" s="70"/>
      <c r="I1206" s="7" t="str">
        <f>IFERROR(__xludf.DUMMYFUNCTION("regexreplace(lower(C1206), ""_"", """")"),"numberpeopleinchildhousehold")</f>
        <v>numberpeopleinchildhousehold</v>
      </c>
      <c r="J1206" s="9" t="b">
        <f t="shared" si="2"/>
        <v>1</v>
      </c>
      <c r="K1206" s="7" t="str">
        <f>IFERROR(__xludf.DUMMYFUNCTION("regexreplace(G1206, ""_"", """")"),"numberpeopleinchildhousehold")</f>
        <v>numberpeopleinchildhousehold</v>
      </c>
      <c r="L1206" s="70" t="s">
        <v>4665</v>
      </c>
      <c r="M1206" s="70" t="s">
        <v>4665</v>
      </c>
    </row>
    <row r="1207">
      <c r="A1207" s="70"/>
      <c r="B1207" s="68" t="s">
        <v>4623</v>
      </c>
      <c r="C1207" s="68" t="s">
        <v>4666</v>
      </c>
      <c r="D1207" s="68" t="s">
        <v>43</v>
      </c>
      <c r="E1207" s="70" t="s">
        <v>4667</v>
      </c>
      <c r="F1207" s="71">
        <f t="shared" si="61"/>
        <v>2</v>
      </c>
      <c r="G1207" s="68" t="s">
        <v>4668</v>
      </c>
      <c r="H1207" s="70"/>
      <c r="I1207" s="7" t="str">
        <f>IFERROR(__xludf.DUMMYFUNCTION("regexreplace(lower(C1207), ""_"", """")"),"othercontributemoneytochildhousehold")</f>
        <v>othercontributemoneytochildhousehold</v>
      </c>
      <c r="J1207" s="9" t="b">
        <f t="shared" si="2"/>
        <v>1</v>
      </c>
      <c r="K1207" s="7" t="str">
        <f>IFERROR(__xludf.DUMMYFUNCTION("regexreplace(G1207, ""_"", """")"),"othercontributemoneytochildhousehold")</f>
        <v>othercontributemoneytochildhousehold</v>
      </c>
      <c r="L1207" s="70" t="s">
        <v>4669</v>
      </c>
      <c r="M1207" s="70" t="s">
        <v>4669</v>
      </c>
    </row>
    <row r="1208">
      <c r="A1208" s="70"/>
      <c r="B1208" s="68" t="s">
        <v>4623</v>
      </c>
      <c r="C1208" s="68" t="s">
        <v>4670</v>
      </c>
      <c r="D1208" s="68" t="s">
        <v>274</v>
      </c>
      <c r="E1208" s="70" t="s">
        <v>4671</v>
      </c>
      <c r="F1208" s="71">
        <f t="shared" si="61"/>
        <v>2</v>
      </c>
      <c r="G1208" s="68" t="s">
        <v>4672</v>
      </c>
      <c r="H1208" s="70"/>
      <c r="I1208" s="7" t="str">
        <f>IFERROR(__xludf.DUMMYFUNCTION("regexreplace(lower(C1208), ""_"", """")"),"educationprimarycaretaker")</f>
        <v>educationprimarycaretaker</v>
      </c>
      <c r="J1208" s="9" t="b">
        <f t="shared" si="2"/>
        <v>1</v>
      </c>
      <c r="K1208" s="7" t="str">
        <f>IFERROR(__xludf.DUMMYFUNCTION("regexreplace(G1208, ""_"", """")"),"educationprimarycaretaker")</f>
        <v>educationprimarycaretaker</v>
      </c>
      <c r="L1208" s="70" t="s">
        <v>4673</v>
      </c>
      <c r="M1208" s="70" t="s">
        <v>4673</v>
      </c>
    </row>
    <row r="1209">
      <c r="A1209" s="70"/>
      <c r="B1209" s="68" t="s">
        <v>4623</v>
      </c>
      <c r="C1209" s="68" t="s">
        <v>4674</v>
      </c>
      <c r="D1209" s="68" t="s">
        <v>274</v>
      </c>
      <c r="E1209" s="70" t="s">
        <v>4675</v>
      </c>
      <c r="F1209" s="71">
        <f t="shared" si="61"/>
        <v>2</v>
      </c>
      <c r="G1209" s="68" t="s">
        <v>4676</v>
      </c>
      <c r="H1209" s="70"/>
      <c r="I1209" s="7" t="str">
        <f>IFERROR(__xludf.DUMMYFUNCTION("regexreplace(lower(C1209), ""_"", """")"),"educationothercaretaker")</f>
        <v>educationothercaretaker</v>
      </c>
      <c r="J1209" s="9" t="b">
        <f t="shared" si="2"/>
        <v>1</v>
      </c>
      <c r="K1209" s="7" t="str">
        <f>IFERROR(__xludf.DUMMYFUNCTION("regexreplace(G1209, ""_"", """")"),"educationothercaretaker")</f>
        <v>educationothercaretaker</v>
      </c>
      <c r="L1209" s="70" t="s">
        <v>4677</v>
      </c>
      <c r="M1209" s="70" t="s">
        <v>4677</v>
      </c>
    </row>
    <row r="1210">
      <c r="A1210" s="70"/>
      <c r="B1210" s="68" t="s">
        <v>4623</v>
      </c>
      <c r="C1210" s="68" t="s">
        <v>4678</v>
      </c>
      <c r="D1210" s="68" t="s">
        <v>43</v>
      </c>
      <c r="E1210" s="70" t="s">
        <v>4679</v>
      </c>
      <c r="F1210" s="71">
        <f t="shared" si="61"/>
        <v>2</v>
      </c>
      <c r="G1210" s="68" t="s">
        <v>4680</v>
      </c>
      <c r="H1210" s="70"/>
      <c r="I1210" s="7" t="str">
        <f>IFERROR(__xludf.DUMMYFUNCTION("regexreplace(lower(C1210), ""_"", """")"),"workprimarycaretaker")</f>
        <v>workprimarycaretaker</v>
      </c>
      <c r="J1210" s="9" t="b">
        <f t="shared" si="2"/>
        <v>1</v>
      </c>
      <c r="K1210" s="7" t="str">
        <f>IFERROR(__xludf.DUMMYFUNCTION("regexreplace(G1210, ""_"", """")"),"workprimarycaretaker")</f>
        <v>workprimarycaretaker</v>
      </c>
      <c r="L1210" s="70" t="s">
        <v>4681</v>
      </c>
      <c r="M1210" s="70" t="s">
        <v>4681</v>
      </c>
    </row>
    <row r="1211">
      <c r="A1211" s="70"/>
      <c r="B1211" s="68" t="s">
        <v>4623</v>
      </c>
      <c r="C1211" s="68" t="s">
        <v>4682</v>
      </c>
      <c r="D1211" s="68" t="s">
        <v>43</v>
      </c>
      <c r="E1211" s="70" t="s">
        <v>4683</v>
      </c>
      <c r="F1211" s="71">
        <f t="shared" si="61"/>
        <v>2</v>
      </c>
      <c r="G1211" s="68" t="s">
        <v>4684</v>
      </c>
      <c r="H1211" s="70"/>
      <c r="I1211" s="7" t="str">
        <f>IFERROR(__xludf.DUMMYFUNCTION("regexreplace(lower(C1211), ""_"", """")"),"workothercaretaker")</f>
        <v>workothercaretaker</v>
      </c>
      <c r="J1211" s="9" t="b">
        <f t="shared" si="2"/>
        <v>1</v>
      </c>
      <c r="K1211" s="7" t="str">
        <f>IFERROR(__xludf.DUMMYFUNCTION("regexreplace(G1211, ""_"", """")"),"workothercaretaker")</f>
        <v>workothercaretaker</v>
      </c>
      <c r="L1211" s="70" t="s">
        <v>4685</v>
      </c>
      <c r="M1211" s="70" t="s">
        <v>4685</v>
      </c>
    </row>
    <row r="1212">
      <c r="A1212" s="70"/>
      <c r="B1212" s="68" t="s">
        <v>4623</v>
      </c>
      <c r="C1212" s="68" t="s">
        <v>4686</v>
      </c>
      <c r="D1212" s="68" t="s">
        <v>43</v>
      </c>
      <c r="E1212" s="70" t="s">
        <v>4687</v>
      </c>
      <c r="F1212" s="71">
        <f t="shared" si="61"/>
        <v>2</v>
      </c>
      <c r="G1212" s="68" t="s">
        <v>4688</v>
      </c>
      <c r="H1212" s="70"/>
      <c r="I1212" s="7" t="str">
        <f>IFERROR(__xludf.DUMMYFUNCTION("regexreplace(lower(C1212), ""_"", """")"),"inschoolprimarycaretaker")</f>
        <v>inschoolprimarycaretaker</v>
      </c>
      <c r="J1212" s="9" t="b">
        <f t="shared" si="2"/>
        <v>1</v>
      </c>
      <c r="K1212" s="7" t="str">
        <f>IFERROR(__xludf.DUMMYFUNCTION("regexreplace(G1212, ""_"", """")"),"inschoolprimarycaretaker")</f>
        <v>inschoolprimarycaretaker</v>
      </c>
      <c r="L1212" s="70" t="s">
        <v>4689</v>
      </c>
      <c r="M1212" s="70" t="s">
        <v>4689</v>
      </c>
    </row>
    <row r="1213">
      <c r="A1213" s="70"/>
      <c r="B1213" s="68" t="s">
        <v>4623</v>
      </c>
      <c r="C1213" s="68" t="s">
        <v>4690</v>
      </c>
      <c r="D1213" s="68" t="s">
        <v>43</v>
      </c>
      <c r="E1213" s="70" t="s">
        <v>4691</v>
      </c>
      <c r="F1213" s="71">
        <f t="shared" si="61"/>
        <v>2</v>
      </c>
      <c r="G1213" s="68" t="s">
        <v>4692</v>
      </c>
      <c r="H1213" s="70"/>
      <c r="I1213" s="7" t="str">
        <f>IFERROR(__xludf.DUMMYFUNCTION("regexreplace(lower(C1213), ""_"", """")"),"inschoolothercaretaker")</f>
        <v>inschoolothercaretaker</v>
      </c>
      <c r="J1213" s="9" t="b">
        <f t="shared" si="2"/>
        <v>1</v>
      </c>
      <c r="K1213" s="7" t="str">
        <f>IFERROR(__xludf.DUMMYFUNCTION("regexreplace(G1213, ""_"", """")"),"inschoolothercaretaker")</f>
        <v>inschoolothercaretaker</v>
      </c>
      <c r="L1213" s="70" t="s">
        <v>4693</v>
      </c>
      <c r="M1213" s="70" t="s">
        <v>4693</v>
      </c>
    </row>
    <row r="1214">
      <c r="A1214" s="70"/>
      <c r="B1214" s="68" t="s">
        <v>4623</v>
      </c>
      <c r="C1214" s="68" t="s">
        <v>4694</v>
      </c>
      <c r="D1214" s="68" t="s">
        <v>4695</v>
      </c>
      <c r="E1214" s="70" t="s">
        <v>4696</v>
      </c>
      <c r="F1214" s="71">
        <f t="shared" si="61"/>
        <v>1</v>
      </c>
      <c r="G1214" s="68" t="s">
        <v>4697</v>
      </c>
      <c r="H1214" s="70"/>
      <c r="I1214" s="7" t="str">
        <f>IFERROR(__xludf.DUMMYFUNCTION("regexreplace(lower(C1214), ""_"", """")"),"totalincomechildhousehold")</f>
        <v>totalincomechildhousehold</v>
      </c>
      <c r="J1214" s="9" t="b">
        <f t="shared" si="2"/>
        <v>1</v>
      </c>
      <c r="K1214" s="7" t="str">
        <f>IFERROR(__xludf.DUMMYFUNCTION("regexreplace(G1214, ""_"", """")"),"totalincomechildhousehold")</f>
        <v>totalincomechildhousehold</v>
      </c>
      <c r="L1214" s="70" t="s">
        <v>4698</v>
      </c>
      <c r="M1214" s="70"/>
    </row>
    <row r="1215">
      <c r="A1215" s="70"/>
      <c r="B1215" s="68" t="s">
        <v>4623</v>
      </c>
      <c r="C1215" s="68" t="s">
        <v>4699</v>
      </c>
      <c r="D1215" s="68" t="s">
        <v>285</v>
      </c>
      <c r="E1215" s="70" t="s">
        <v>4700</v>
      </c>
      <c r="F1215" s="71">
        <f t="shared" si="61"/>
        <v>2</v>
      </c>
      <c r="G1215" s="68" t="s">
        <v>4701</v>
      </c>
      <c r="H1215" s="70"/>
      <c r="I1215" s="7" t="str">
        <f>IFERROR(__xludf.DUMMYFUNCTION("regexreplace(lower(C1215), ""_"", """")"),"medicalinsurancechild")</f>
        <v>medicalinsurancechild</v>
      </c>
      <c r="J1215" s="9" t="b">
        <f t="shared" si="2"/>
        <v>1</v>
      </c>
      <c r="K1215" s="7" t="str">
        <f>IFERROR(__xludf.DUMMYFUNCTION("regexreplace(G1215, ""_"", """")"),"medicalinsurancechild")</f>
        <v>medicalinsurancechild</v>
      </c>
      <c r="L1215" s="70" t="s">
        <v>4702</v>
      </c>
      <c r="M1215" s="70" t="s">
        <v>4702</v>
      </c>
    </row>
    <row r="1216">
      <c r="A1216" s="70"/>
      <c r="B1216" s="68" t="s">
        <v>4623</v>
      </c>
      <c r="C1216" s="68" t="s">
        <v>4703</v>
      </c>
      <c r="D1216" s="68" t="s">
        <v>4704</v>
      </c>
      <c r="E1216" s="70" t="s">
        <v>4705</v>
      </c>
      <c r="F1216" s="71">
        <f t="shared" si="61"/>
        <v>2</v>
      </c>
      <c r="G1216" s="68" t="s">
        <v>4706</v>
      </c>
      <c r="H1216" s="70"/>
      <c r="I1216" s="7" t="str">
        <f>IFERROR(__xludf.DUMMYFUNCTION("regexreplace(lower(C1216), ""_"", """")"),"primarylanguagechild")</f>
        <v>primarylanguagechild</v>
      </c>
      <c r="J1216" s="9" t="b">
        <f t="shared" si="2"/>
        <v>1</v>
      </c>
      <c r="K1216" s="7" t="str">
        <f>IFERROR(__xludf.DUMMYFUNCTION("regexreplace(G1216, ""_"", """")"),"primarylanguagechild")</f>
        <v>primarylanguagechild</v>
      </c>
      <c r="L1216" s="70" t="s">
        <v>4707</v>
      </c>
      <c r="M1216" s="70" t="s">
        <v>4707</v>
      </c>
    </row>
    <row r="1217">
      <c r="A1217" s="70"/>
      <c r="B1217" s="68" t="s">
        <v>4623</v>
      </c>
      <c r="C1217" s="68" t="s">
        <v>4708</v>
      </c>
      <c r="D1217" s="68" t="s">
        <v>19</v>
      </c>
      <c r="E1217" s="70" t="s">
        <v>4709</v>
      </c>
      <c r="F1217" s="71">
        <f t="shared" si="61"/>
        <v>2</v>
      </c>
      <c r="G1217" s="68" t="s">
        <v>4710</v>
      </c>
      <c r="H1217" s="70"/>
      <c r="I1217" s="7" t="str">
        <f>IFERROR(__xludf.DUMMYFUNCTION("regexreplace(lower(C1217), ""_"", """")"),"primarylanguagechildothertext")</f>
        <v>primarylanguagechildothertext</v>
      </c>
      <c r="J1217" s="9" t="b">
        <f t="shared" si="2"/>
        <v>1</v>
      </c>
      <c r="K1217" s="7" t="str">
        <f>IFERROR(__xludf.DUMMYFUNCTION("regexreplace(G1217, ""_"", """")"),"primarylanguagechildothertext")</f>
        <v>primarylanguagechildothertext</v>
      </c>
      <c r="L1217" s="70" t="s">
        <v>4711</v>
      </c>
      <c r="M1217" s="70" t="s">
        <v>4711</v>
      </c>
    </row>
    <row r="1218">
      <c r="A1218" s="70"/>
      <c r="B1218" s="68" t="s">
        <v>4623</v>
      </c>
      <c r="C1218" s="68" t="s">
        <v>4712</v>
      </c>
      <c r="D1218" s="68" t="s">
        <v>43</v>
      </c>
      <c r="E1218" s="70" t="s">
        <v>4713</v>
      </c>
      <c r="F1218" s="71">
        <f t="shared" si="61"/>
        <v>2</v>
      </c>
      <c r="G1218" s="68" t="s">
        <v>4714</v>
      </c>
      <c r="H1218" s="70"/>
      <c r="I1218" s="7" t="str">
        <f>IFERROR(__xludf.DUMMYFUNCTION("regexreplace(lower(C1218), ""_"", """")"),"issecondarylanguagechild")</f>
        <v>issecondarylanguagechild</v>
      </c>
      <c r="J1218" s="9" t="b">
        <f t="shared" si="2"/>
        <v>1</v>
      </c>
      <c r="K1218" s="7" t="str">
        <f>IFERROR(__xludf.DUMMYFUNCTION("regexreplace(G1218, ""_"", """")"),"issecondarylanguagechild")</f>
        <v>issecondarylanguagechild</v>
      </c>
      <c r="L1218" s="70" t="s">
        <v>4715</v>
      </c>
      <c r="M1218" s="70" t="s">
        <v>4715</v>
      </c>
    </row>
    <row r="1219">
      <c r="A1219" s="70"/>
      <c r="B1219" s="68" t="s">
        <v>4623</v>
      </c>
      <c r="C1219" s="68" t="s">
        <v>4716</v>
      </c>
      <c r="D1219" s="68" t="s">
        <v>4704</v>
      </c>
      <c r="E1219" s="70" t="s">
        <v>4717</v>
      </c>
      <c r="F1219" s="71">
        <f t="shared" si="61"/>
        <v>2</v>
      </c>
      <c r="G1219" s="68" t="s">
        <v>4718</v>
      </c>
      <c r="H1219" s="70"/>
      <c r="I1219" s="7" t="str">
        <f>IFERROR(__xludf.DUMMYFUNCTION("regexreplace(lower(C1219), ""_"", """")"),"secondarylanguagechild")</f>
        <v>secondarylanguagechild</v>
      </c>
      <c r="J1219" s="9" t="b">
        <f t="shared" si="2"/>
        <v>1</v>
      </c>
      <c r="K1219" s="7" t="str">
        <f>IFERROR(__xludf.DUMMYFUNCTION("regexreplace(G1219, ""_"", """")"),"secondarylanguagechild")</f>
        <v>secondarylanguagechild</v>
      </c>
      <c r="L1219" s="70" t="s">
        <v>4719</v>
      </c>
      <c r="M1219" s="70" t="s">
        <v>4719</v>
      </c>
    </row>
    <row r="1220">
      <c r="A1220" s="70"/>
      <c r="B1220" s="68" t="s">
        <v>4623</v>
      </c>
      <c r="C1220" s="68" t="s">
        <v>4720</v>
      </c>
      <c r="D1220" s="68" t="s">
        <v>19</v>
      </c>
      <c r="E1220" s="70" t="s">
        <v>4721</v>
      </c>
      <c r="F1220" s="71">
        <f t="shared" si="61"/>
        <v>2</v>
      </c>
      <c r="G1220" s="68" t="s">
        <v>4722</v>
      </c>
      <c r="H1220" s="70"/>
      <c r="I1220" s="7" t="str">
        <f>IFERROR(__xludf.DUMMYFUNCTION("regexreplace(lower(C1220), ""_"", """")"),"secondarylanguagechildothertext")</f>
        <v>secondarylanguagechildothertext</v>
      </c>
      <c r="J1220" s="9" t="b">
        <f t="shared" si="2"/>
        <v>1</v>
      </c>
      <c r="K1220" s="7" t="str">
        <f>IFERROR(__xludf.DUMMYFUNCTION("regexreplace(G1220, ""_"", """")"),"secondarylanguagechildothertext")</f>
        <v>secondarylanguagechildothertext</v>
      </c>
      <c r="L1220" s="70" t="s">
        <v>4723</v>
      </c>
      <c r="M1220" s="70" t="s">
        <v>4723</v>
      </c>
    </row>
    <row r="1221">
      <c r="A1221" s="70"/>
      <c r="B1221" s="68" t="s">
        <v>4623</v>
      </c>
      <c r="C1221" s="68" t="s">
        <v>4724</v>
      </c>
      <c r="D1221" s="68" t="s">
        <v>34</v>
      </c>
      <c r="E1221" s="70" t="s">
        <v>4725</v>
      </c>
      <c r="F1221" s="71">
        <f t="shared" si="61"/>
        <v>2</v>
      </c>
      <c r="G1221" s="68" t="s">
        <v>4726</v>
      </c>
      <c r="H1221" s="70"/>
      <c r="I1221" s="7" t="str">
        <f>IFERROR(__xludf.DUMMYFUNCTION("regexreplace(lower(C1221), ""_"", """")"),"numberplacechildlive")</f>
        <v>numberplacechildlive</v>
      </c>
      <c r="J1221" s="9" t="b">
        <f t="shared" si="2"/>
        <v>1</v>
      </c>
      <c r="K1221" s="7" t="str">
        <f>IFERROR(__xludf.DUMMYFUNCTION("regexreplace(G1221, ""_"", """")"),"numberplacechildlive")</f>
        <v>numberplacechildlive</v>
      </c>
      <c r="L1221" s="70" t="s">
        <v>4727</v>
      </c>
      <c r="M1221" s="70" t="s">
        <v>4727</v>
      </c>
    </row>
    <row r="1222">
      <c r="A1222" s="70"/>
      <c r="B1222" s="68" t="s">
        <v>4623</v>
      </c>
      <c r="C1222" s="68" t="s">
        <v>4728</v>
      </c>
      <c r="D1222" s="68" t="s">
        <v>34</v>
      </c>
      <c r="E1222" s="70" t="s">
        <v>4729</v>
      </c>
      <c r="F1222" s="71">
        <f t="shared" si="61"/>
        <v>1</v>
      </c>
      <c r="G1222" s="68" t="s">
        <v>4728</v>
      </c>
      <c r="H1222" s="70"/>
      <c r="I1222" s="7" t="str">
        <f>IFERROR(__xludf.DUMMYFUNCTION("regexreplace(lower(C1222), ""_"", """")"),"zipcode")</f>
        <v>zipcode</v>
      </c>
      <c r="J1222" s="9" t="b">
        <f t="shared" si="2"/>
        <v>1</v>
      </c>
      <c r="K1222" s="7" t="str">
        <f>IFERROR(__xludf.DUMMYFUNCTION("regexreplace(G1222, ""_"", """")"),"zipcode")</f>
        <v>zipcode</v>
      </c>
      <c r="L1222" s="70" t="s">
        <v>4730</v>
      </c>
      <c r="M1222" s="70"/>
    </row>
    <row r="1223">
      <c r="A1223" s="70"/>
      <c r="B1223" s="68" t="s">
        <v>4623</v>
      </c>
      <c r="C1223" s="68" t="s">
        <v>4731</v>
      </c>
      <c r="D1223" s="68" t="s">
        <v>4732</v>
      </c>
      <c r="E1223" s="70" t="s">
        <v>4733</v>
      </c>
      <c r="F1223" s="71">
        <f t="shared" si="61"/>
        <v>2</v>
      </c>
      <c r="G1223" s="68" t="s">
        <v>4734</v>
      </c>
      <c r="H1223" s="70"/>
      <c r="I1223" s="7" t="str">
        <f>IFERROR(__xludf.DUMMYFUNCTION("regexreplace(lower(C1223), ""_"", """")"),"visitingnursereceive")</f>
        <v>visitingnursereceive</v>
      </c>
      <c r="J1223" s="9" t="b">
        <f t="shared" si="2"/>
        <v>1</v>
      </c>
      <c r="K1223" s="7" t="str">
        <f>IFERROR(__xludf.DUMMYFUNCTION("regexreplace(G1223, ""_"", """")"),"visitingnursereceive")</f>
        <v>visitingnursereceive</v>
      </c>
      <c r="L1223" s="70" t="s">
        <v>4735</v>
      </c>
      <c r="M1223" s="70" t="s">
        <v>4735</v>
      </c>
    </row>
    <row r="1224">
      <c r="A1224" s="70"/>
      <c r="B1224" s="68" t="s">
        <v>4623</v>
      </c>
      <c r="C1224" s="68" t="s">
        <v>4736</v>
      </c>
      <c r="D1224" s="68" t="s">
        <v>43</v>
      </c>
      <c r="E1224" s="70" t="s">
        <v>4737</v>
      </c>
      <c r="F1224" s="71">
        <f t="shared" si="61"/>
        <v>2</v>
      </c>
      <c r="G1224" s="68" t="s">
        <v>4738</v>
      </c>
      <c r="H1224" s="70"/>
      <c r="I1224" s="7" t="str">
        <f>IFERROR(__xludf.DUMMYFUNCTION("regexreplace(lower(C1224), ""_"", """")"),"visitingnurseneed")</f>
        <v>visitingnurseneed</v>
      </c>
      <c r="J1224" s="9" t="b">
        <f t="shared" si="2"/>
        <v>1</v>
      </c>
      <c r="K1224" s="7" t="str">
        <f>IFERROR(__xludf.DUMMYFUNCTION("regexreplace(G1224, ""_"", """")"),"visitingnurseneed")</f>
        <v>visitingnurseneed</v>
      </c>
      <c r="L1224" s="70" t="s">
        <v>4739</v>
      </c>
      <c r="M1224" s="70" t="s">
        <v>4739</v>
      </c>
    </row>
    <row r="1225">
      <c r="A1225" s="70"/>
      <c r="B1225" s="68" t="s">
        <v>4623</v>
      </c>
      <c r="C1225" s="68" t="s">
        <v>4740</v>
      </c>
      <c r="D1225" s="68" t="s">
        <v>4732</v>
      </c>
      <c r="E1225" s="70" t="s">
        <v>4741</v>
      </c>
      <c r="F1225" s="71">
        <f t="shared" si="61"/>
        <v>2</v>
      </c>
      <c r="G1225" s="68" t="s">
        <v>4742</v>
      </c>
      <c r="H1225" s="70"/>
      <c r="I1225" s="7" t="str">
        <f>IFERROR(__xludf.DUMMYFUNCTION("regexreplace(lower(C1225), ""_"", """")"),"homenursereceive")</f>
        <v>homenursereceive</v>
      </c>
      <c r="J1225" s="9" t="b">
        <f t="shared" si="2"/>
        <v>1</v>
      </c>
      <c r="K1225" s="7" t="str">
        <f>IFERROR(__xludf.DUMMYFUNCTION("regexreplace(G1225, ""_"", """")"),"homenursereceive")</f>
        <v>homenursereceive</v>
      </c>
      <c r="L1225" s="70" t="s">
        <v>4743</v>
      </c>
      <c r="M1225" s="70" t="s">
        <v>4743</v>
      </c>
    </row>
    <row r="1226">
      <c r="A1226" s="70"/>
      <c r="B1226" s="68" t="s">
        <v>4623</v>
      </c>
      <c r="C1226" s="68" t="s">
        <v>4744</v>
      </c>
      <c r="D1226" s="68" t="s">
        <v>43</v>
      </c>
      <c r="E1226" s="70" t="s">
        <v>4745</v>
      </c>
      <c r="F1226" s="71">
        <f t="shared" si="61"/>
        <v>2</v>
      </c>
      <c r="G1226" s="68" t="s">
        <v>4746</v>
      </c>
      <c r="H1226" s="70"/>
      <c r="I1226" s="7" t="str">
        <f>IFERROR(__xludf.DUMMYFUNCTION("regexreplace(lower(C1226), ""_"", """")"),"homenurseneed")</f>
        <v>homenurseneed</v>
      </c>
      <c r="J1226" s="9" t="b">
        <f t="shared" si="2"/>
        <v>1</v>
      </c>
      <c r="K1226" s="7" t="str">
        <f>IFERROR(__xludf.DUMMYFUNCTION("regexreplace(G1226, ""_"", """")"),"homenurseneed")</f>
        <v>homenurseneed</v>
      </c>
      <c r="L1226" s="70" t="s">
        <v>4747</v>
      </c>
      <c r="M1226" s="70" t="s">
        <v>4747</v>
      </c>
    </row>
    <row r="1227">
      <c r="A1227" s="70"/>
      <c r="B1227" s="68" t="s">
        <v>4623</v>
      </c>
      <c r="C1227" s="68" t="s">
        <v>4748</v>
      </c>
      <c r="D1227" s="68" t="s">
        <v>4732</v>
      </c>
      <c r="E1227" s="70" t="s">
        <v>4749</v>
      </c>
      <c r="F1227" s="71">
        <f t="shared" si="61"/>
        <v>2</v>
      </c>
      <c r="G1227" s="68" t="s">
        <v>4750</v>
      </c>
      <c r="H1227" s="70"/>
      <c r="I1227" s="7" t="str">
        <f>IFERROR(__xludf.DUMMYFUNCTION("regexreplace(lower(C1227), ""_"", """")"),"otptreceive")</f>
        <v>otptreceive</v>
      </c>
      <c r="J1227" s="9" t="b">
        <f t="shared" si="2"/>
        <v>1</v>
      </c>
      <c r="K1227" s="7" t="str">
        <f>IFERROR(__xludf.DUMMYFUNCTION("regexreplace(G1227, ""_"", """")"),"otptreceive")</f>
        <v>otptreceive</v>
      </c>
      <c r="L1227" s="70" t="s">
        <v>4751</v>
      </c>
      <c r="M1227" s="70" t="s">
        <v>4751</v>
      </c>
    </row>
    <row r="1228">
      <c r="A1228" s="70"/>
      <c r="B1228" s="68" t="s">
        <v>4623</v>
      </c>
      <c r="C1228" s="68" t="s">
        <v>4752</v>
      </c>
      <c r="D1228" s="68" t="s">
        <v>43</v>
      </c>
      <c r="E1228" s="70" t="s">
        <v>4753</v>
      </c>
      <c r="F1228" s="71">
        <f t="shared" si="61"/>
        <v>2</v>
      </c>
      <c r="G1228" s="68" t="s">
        <v>4754</v>
      </c>
      <c r="H1228" s="70"/>
      <c r="I1228" s="7" t="str">
        <f>IFERROR(__xludf.DUMMYFUNCTION("regexreplace(lower(C1228), ""_"", """")"),"otptneed")</f>
        <v>otptneed</v>
      </c>
      <c r="J1228" s="9" t="b">
        <f t="shared" si="2"/>
        <v>1</v>
      </c>
      <c r="K1228" s="7" t="str">
        <f>IFERROR(__xludf.DUMMYFUNCTION("regexreplace(G1228, ""_"", """")"),"otptneed")</f>
        <v>otptneed</v>
      </c>
      <c r="L1228" s="70" t="s">
        <v>4755</v>
      </c>
      <c r="M1228" s="70" t="s">
        <v>4755</v>
      </c>
    </row>
    <row r="1229">
      <c r="A1229" s="70"/>
      <c r="B1229" s="68" t="s">
        <v>4623</v>
      </c>
      <c r="C1229" s="68" t="s">
        <v>4756</v>
      </c>
      <c r="D1229" s="68" t="s">
        <v>4732</v>
      </c>
      <c r="E1229" s="70" t="s">
        <v>4757</v>
      </c>
      <c r="F1229" s="71">
        <f t="shared" si="61"/>
        <v>2</v>
      </c>
      <c r="G1229" s="68" t="s">
        <v>4758</v>
      </c>
      <c r="H1229" s="70"/>
      <c r="I1229" s="7" t="str">
        <f>IFERROR(__xludf.DUMMYFUNCTION("regexreplace(lower(C1229), ""_"", """")"),"speechtherapyreceive")</f>
        <v>speechtherapyreceive</v>
      </c>
      <c r="J1229" s="9" t="b">
        <f t="shared" si="2"/>
        <v>1</v>
      </c>
      <c r="K1229" s="7" t="str">
        <f>IFERROR(__xludf.DUMMYFUNCTION("regexreplace(G1229, ""_"", """")"),"speechtherapyreceive")</f>
        <v>speechtherapyreceive</v>
      </c>
      <c r="L1229" s="70" t="s">
        <v>4759</v>
      </c>
      <c r="M1229" s="70" t="s">
        <v>4759</v>
      </c>
    </row>
    <row r="1230">
      <c r="A1230" s="70"/>
      <c r="B1230" s="68" t="s">
        <v>4623</v>
      </c>
      <c r="C1230" s="68" t="s">
        <v>4760</v>
      </c>
      <c r="D1230" s="68" t="s">
        <v>43</v>
      </c>
      <c r="E1230" s="70" t="s">
        <v>4761</v>
      </c>
      <c r="F1230" s="71">
        <f t="shared" si="61"/>
        <v>2</v>
      </c>
      <c r="G1230" s="68" t="s">
        <v>4762</v>
      </c>
      <c r="H1230" s="70"/>
      <c r="I1230" s="7" t="str">
        <f>IFERROR(__xludf.DUMMYFUNCTION("regexreplace(lower(C1230), ""_"", """")"),"speechtherapyneed")</f>
        <v>speechtherapyneed</v>
      </c>
      <c r="J1230" s="9" t="b">
        <f t="shared" si="2"/>
        <v>1</v>
      </c>
      <c r="K1230" s="7" t="str">
        <f>IFERROR(__xludf.DUMMYFUNCTION("regexreplace(G1230, ""_"", """")"),"speechtherapyneed")</f>
        <v>speechtherapyneed</v>
      </c>
      <c r="L1230" s="70" t="s">
        <v>4763</v>
      </c>
      <c r="M1230" s="70" t="s">
        <v>4763</v>
      </c>
    </row>
    <row r="1231">
      <c r="A1231" s="70"/>
      <c r="B1231" s="68" t="s">
        <v>4623</v>
      </c>
      <c r="C1231" s="68" t="s">
        <v>4764</v>
      </c>
      <c r="D1231" s="68" t="s">
        <v>4732</v>
      </c>
      <c r="E1231" s="70" t="s">
        <v>4765</v>
      </c>
      <c r="F1231" s="71">
        <f t="shared" si="61"/>
        <v>2</v>
      </c>
      <c r="G1231" s="68" t="s">
        <v>4766</v>
      </c>
      <c r="H1231" s="70"/>
      <c r="I1231" s="7" t="str">
        <f>IFERROR(__xludf.DUMMYFUNCTION("regexreplace(lower(C1231), ""_"", """")"),"earlyinterventionreceive")</f>
        <v>earlyinterventionreceive</v>
      </c>
      <c r="J1231" s="9" t="b">
        <f t="shared" si="2"/>
        <v>1</v>
      </c>
      <c r="K1231" s="7" t="str">
        <f>IFERROR(__xludf.DUMMYFUNCTION("regexreplace(G1231, ""_"", """")"),"earlyinterventionreceive")</f>
        <v>earlyinterventionreceive</v>
      </c>
      <c r="L1231" s="70" t="s">
        <v>4767</v>
      </c>
      <c r="M1231" s="70" t="s">
        <v>4767</v>
      </c>
    </row>
    <row r="1232">
      <c r="A1232" s="70"/>
      <c r="B1232" s="68" t="s">
        <v>4623</v>
      </c>
      <c r="C1232" s="68" t="s">
        <v>4768</v>
      </c>
      <c r="D1232" s="68" t="s">
        <v>43</v>
      </c>
      <c r="E1232" s="70" t="s">
        <v>4769</v>
      </c>
      <c r="F1232" s="71">
        <f t="shared" si="61"/>
        <v>2</v>
      </c>
      <c r="G1232" s="68" t="s">
        <v>4770</v>
      </c>
      <c r="H1232" s="70"/>
      <c r="I1232" s="7" t="str">
        <f>IFERROR(__xludf.DUMMYFUNCTION("regexreplace(lower(C1232), ""_"", """")"),"earlyinterventionneed")</f>
        <v>earlyinterventionneed</v>
      </c>
      <c r="J1232" s="9" t="b">
        <f t="shared" si="2"/>
        <v>1</v>
      </c>
      <c r="K1232" s="7" t="str">
        <f>IFERROR(__xludf.DUMMYFUNCTION("regexreplace(G1232, ""_"", """")"),"earlyinterventionneed")</f>
        <v>earlyinterventionneed</v>
      </c>
      <c r="L1232" s="70" t="s">
        <v>4771</v>
      </c>
      <c r="M1232" s="70" t="s">
        <v>4771</v>
      </c>
    </row>
    <row r="1233">
      <c r="A1233" s="70"/>
      <c r="B1233" s="68" t="s">
        <v>4623</v>
      </c>
      <c r="C1233" s="68" t="s">
        <v>4772</v>
      </c>
      <c r="D1233" s="68" t="s">
        <v>4732</v>
      </c>
      <c r="E1233" s="70" t="s">
        <v>4773</v>
      </c>
      <c r="F1233" s="71">
        <f t="shared" si="61"/>
        <v>2</v>
      </c>
      <c r="G1233" s="68" t="s">
        <v>4774</v>
      </c>
      <c r="H1233" s="70"/>
      <c r="I1233" s="7" t="str">
        <f>IFERROR(__xludf.DUMMYFUNCTION("regexreplace(lower(C1233), ""_"", """")"),"socialworkforchildreceive")</f>
        <v>socialworkforchildreceive</v>
      </c>
      <c r="J1233" s="9" t="b">
        <f t="shared" si="2"/>
        <v>1</v>
      </c>
      <c r="K1233" s="7" t="str">
        <f>IFERROR(__xludf.DUMMYFUNCTION("regexreplace(G1233, ""_"", """")"),"socialworkforchildreceive")</f>
        <v>socialworkforchildreceive</v>
      </c>
      <c r="L1233" s="70" t="s">
        <v>4775</v>
      </c>
      <c r="M1233" s="70" t="s">
        <v>4775</v>
      </c>
    </row>
    <row r="1234">
      <c r="A1234" s="70"/>
      <c r="B1234" s="68" t="s">
        <v>4623</v>
      </c>
      <c r="C1234" s="68" t="s">
        <v>4776</v>
      </c>
      <c r="D1234" s="68" t="s">
        <v>43</v>
      </c>
      <c r="E1234" s="70" t="s">
        <v>4777</v>
      </c>
      <c r="F1234" s="71">
        <f t="shared" si="61"/>
        <v>2</v>
      </c>
      <c r="G1234" s="68" t="s">
        <v>4778</v>
      </c>
      <c r="H1234" s="70"/>
      <c r="I1234" s="7" t="str">
        <f>IFERROR(__xludf.DUMMYFUNCTION("regexreplace(lower(C1234), ""_"", """")"),"socialworkforchildneed")</f>
        <v>socialworkforchildneed</v>
      </c>
      <c r="J1234" s="9" t="b">
        <f t="shared" si="2"/>
        <v>1</v>
      </c>
      <c r="K1234" s="7" t="str">
        <f>IFERROR(__xludf.DUMMYFUNCTION("regexreplace(G1234, ""_"", """")"),"socialworkforchildneed")</f>
        <v>socialworkforchildneed</v>
      </c>
      <c r="L1234" s="70" t="s">
        <v>4779</v>
      </c>
      <c r="M1234" s="70" t="s">
        <v>4779</v>
      </c>
    </row>
    <row r="1235">
      <c r="A1235" s="70"/>
      <c r="B1235" s="68" t="s">
        <v>4623</v>
      </c>
      <c r="C1235" s="68" t="s">
        <v>4780</v>
      </c>
      <c r="D1235" s="68" t="s">
        <v>4732</v>
      </c>
      <c r="E1235" s="70" t="s">
        <v>4781</v>
      </c>
      <c r="F1235" s="71">
        <f t="shared" si="61"/>
        <v>1</v>
      </c>
      <c r="G1235" s="68" t="s">
        <v>4782</v>
      </c>
      <c r="H1235" s="70"/>
      <c r="I1235" s="7" t="str">
        <f>IFERROR(__xludf.DUMMYFUNCTION("regexreplace(lower(C1235), ""_"", """")"),"specialclinicreceive")</f>
        <v>specialclinicreceive</v>
      </c>
      <c r="J1235" s="9" t="b">
        <f t="shared" si="2"/>
        <v>1</v>
      </c>
      <c r="K1235" s="7" t="str">
        <f>IFERROR(__xludf.DUMMYFUNCTION("regexreplace(G1235, ""_"", """")"),"specialclinicreceive")</f>
        <v>specialclinicreceive</v>
      </c>
      <c r="L1235" s="70" t="s">
        <v>4783</v>
      </c>
      <c r="M1235" s="70"/>
    </row>
    <row r="1236">
      <c r="A1236" s="70"/>
      <c r="B1236" s="68" t="s">
        <v>4623</v>
      </c>
      <c r="C1236" s="68" t="s">
        <v>4784</v>
      </c>
      <c r="D1236" s="68" t="s">
        <v>43</v>
      </c>
      <c r="E1236" s="70" t="s">
        <v>4785</v>
      </c>
      <c r="F1236" s="71">
        <f t="shared" si="61"/>
        <v>1</v>
      </c>
      <c r="G1236" s="68" t="s">
        <v>4786</v>
      </c>
      <c r="H1236" s="70"/>
      <c r="I1236" s="7" t="str">
        <f>IFERROR(__xludf.DUMMYFUNCTION("regexreplace(lower(C1236), ""_"", """")"),"specialclinicneed")</f>
        <v>specialclinicneed</v>
      </c>
      <c r="J1236" s="9" t="b">
        <f t="shared" si="2"/>
        <v>1</v>
      </c>
      <c r="K1236" s="7" t="str">
        <f>IFERROR(__xludf.DUMMYFUNCTION("regexreplace(G1236, ""_"", """")"),"specialclinicneed")</f>
        <v>specialclinicneed</v>
      </c>
      <c r="L1236" s="70" t="s">
        <v>4787</v>
      </c>
      <c r="M1236" s="70"/>
    </row>
    <row r="1237">
      <c r="A1237" s="70"/>
      <c r="B1237" s="68" t="s">
        <v>4623</v>
      </c>
      <c r="C1237" s="68" t="s">
        <v>4788</v>
      </c>
      <c r="D1237" s="68" t="s">
        <v>4732</v>
      </c>
      <c r="E1237" s="70" t="s">
        <v>4789</v>
      </c>
      <c r="F1237" s="71">
        <f t="shared" si="61"/>
        <v>2</v>
      </c>
      <c r="G1237" s="68" t="s">
        <v>4790</v>
      </c>
      <c r="H1237" s="70"/>
      <c r="I1237" s="7" t="str">
        <f>IFERROR(__xludf.DUMMYFUNCTION("regexreplace(lower(C1237), ""_"", """")"),"pulmonaryreceive")</f>
        <v>pulmonaryreceive</v>
      </c>
      <c r="J1237" s="9" t="b">
        <f t="shared" si="2"/>
        <v>1</v>
      </c>
      <c r="K1237" s="7" t="str">
        <f>IFERROR(__xludf.DUMMYFUNCTION("regexreplace(G1237, ""_"", """")"),"pulmonaryreceive")</f>
        <v>pulmonaryreceive</v>
      </c>
      <c r="L1237" s="70" t="s">
        <v>4791</v>
      </c>
      <c r="M1237" s="70" t="s">
        <v>4791</v>
      </c>
    </row>
    <row r="1238">
      <c r="A1238" s="70"/>
      <c r="B1238" s="68" t="s">
        <v>4623</v>
      </c>
      <c r="C1238" s="68" t="s">
        <v>4792</v>
      </c>
      <c r="D1238" s="68" t="s">
        <v>43</v>
      </c>
      <c r="E1238" s="70" t="s">
        <v>4793</v>
      </c>
      <c r="F1238" s="71">
        <f t="shared" si="61"/>
        <v>2</v>
      </c>
      <c r="G1238" s="68" t="s">
        <v>4794</v>
      </c>
      <c r="H1238" s="70"/>
      <c r="I1238" s="7" t="str">
        <f>IFERROR(__xludf.DUMMYFUNCTION("regexreplace(lower(C1238), ""_"", """")"),"pulmonaryneed")</f>
        <v>pulmonaryneed</v>
      </c>
      <c r="J1238" s="9" t="b">
        <f t="shared" si="2"/>
        <v>1</v>
      </c>
      <c r="K1238" s="7" t="str">
        <f>IFERROR(__xludf.DUMMYFUNCTION("regexreplace(G1238, ""_"", """")"),"pulmonaryneed")</f>
        <v>pulmonaryneed</v>
      </c>
      <c r="L1238" s="70" t="s">
        <v>4795</v>
      </c>
      <c r="M1238" s="70" t="s">
        <v>4795</v>
      </c>
    </row>
    <row r="1239">
      <c r="A1239" s="70"/>
      <c r="B1239" s="68" t="s">
        <v>4623</v>
      </c>
      <c r="C1239" s="68" t="s">
        <v>4796</v>
      </c>
      <c r="D1239" s="68" t="s">
        <v>4732</v>
      </c>
      <c r="E1239" s="70" t="s">
        <v>4797</v>
      </c>
      <c r="F1239" s="71">
        <f t="shared" si="61"/>
        <v>2</v>
      </c>
      <c r="G1239" s="68" t="s">
        <v>4798</v>
      </c>
      <c r="H1239" s="70"/>
      <c r="I1239" s="7" t="str">
        <f>IFERROR(__xludf.DUMMYFUNCTION("regexreplace(lower(C1239), ""_"", """")"),"ophthalmologicreceive")</f>
        <v>ophthalmologicreceive</v>
      </c>
      <c r="J1239" s="9" t="b">
        <f t="shared" si="2"/>
        <v>1</v>
      </c>
      <c r="K1239" s="7" t="str">
        <f>IFERROR(__xludf.DUMMYFUNCTION("regexreplace(G1239, ""_"", """")"),"ophthalmologicreceive")</f>
        <v>ophthalmologicreceive</v>
      </c>
      <c r="L1239" s="70" t="s">
        <v>4799</v>
      </c>
      <c r="M1239" s="70" t="s">
        <v>4799</v>
      </c>
    </row>
    <row r="1240">
      <c r="A1240" s="70"/>
      <c r="B1240" s="68" t="s">
        <v>4623</v>
      </c>
      <c r="C1240" s="68" t="s">
        <v>4800</v>
      </c>
      <c r="D1240" s="68" t="s">
        <v>43</v>
      </c>
      <c r="E1240" s="70" t="s">
        <v>4801</v>
      </c>
      <c r="F1240" s="71">
        <f t="shared" si="61"/>
        <v>2</v>
      </c>
      <c r="G1240" s="68" t="s">
        <v>4802</v>
      </c>
      <c r="H1240" s="70"/>
      <c r="I1240" s="7" t="str">
        <f>IFERROR(__xludf.DUMMYFUNCTION("regexreplace(lower(C1240), ""_"", """")"),"ophthalmologicneed")</f>
        <v>ophthalmologicneed</v>
      </c>
      <c r="J1240" s="9" t="b">
        <f t="shared" si="2"/>
        <v>1</v>
      </c>
      <c r="K1240" s="7" t="str">
        <f>IFERROR(__xludf.DUMMYFUNCTION("regexreplace(G1240, ""_"", """")"),"ophthalmologicneed")</f>
        <v>ophthalmologicneed</v>
      </c>
      <c r="L1240" s="70" t="s">
        <v>4803</v>
      </c>
      <c r="M1240" s="70" t="s">
        <v>4803</v>
      </c>
    </row>
    <row r="1241">
      <c r="A1241" s="70"/>
      <c r="B1241" s="68" t="s">
        <v>4623</v>
      </c>
      <c r="C1241" s="68" t="s">
        <v>4804</v>
      </c>
      <c r="D1241" s="68" t="s">
        <v>4732</v>
      </c>
      <c r="E1241" s="70" t="s">
        <v>4805</v>
      </c>
      <c r="F1241" s="71">
        <f t="shared" si="61"/>
        <v>2</v>
      </c>
      <c r="G1241" s="68" t="s">
        <v>4806</v>
      </c>
      <c r="H1241" s="70"/>
      <c r="I1241" s="7" t="str">
        <f>IFERROR(__xludf.DUMMYFUNCTION("regexreplace(lower(C1241), ""_"", """")"),"gastrointestinalreceive")</f>
        <v>gastrointestinalreceive</v>
      </c>
      <c r="J1241" s="9" t="b">
        <f t="shared" si="2"/>
        <v>1</v>
      </c>
      <c r="K1241" s="7" t="str">
        <f>IFERROR(__xludf.DUMMYFUNCTION("regexreplace(G1241, ""_"", """")"),"gastrointestinalreceive")</f>
        <v>gastrointestinalreceive</v>
      </c>
      <c r="L1241" s="70" t="s">
        <v>4807</v>
      </c>
      <c r="M1241" s="70" t="s">
        <v>4807</v>
      </c>
    </row>
    <row r="1242">
      <c r="A1242" s="70"/>
      <c r="B1242" s="68" t="s">
        <v>4623</v>
      </c>
      <c r="C1242" s="68" t="s">
        <v>4808</v>
      </c>
      <c r="D1242" s="68" t="s">
        <v>43</v>
      </c>
      <c r="E1242" s="70" t="s">
        <v>4809</v>
      </c>
      <c r="F1242" s="71">
        <f t="shared" si="61"/>
        <v>2</v>
      </c>
      <c r="G1242" s="68" t="s">
        <v>4810</v>
      </c>
      <c r="H1242" s="70"/>
      <c r="I1242" s="7" t="str">
        <f>IFERROR(__xludf.DUMMYFUNCTION("regexreplace(lower(C1242), ""_"", """")"),"gastrointestinalneed")</f>
        <v>gastrointestinalneed</v>
      </c>
      <c r="J1242" s="9" t="b">
        <f t="shared" si="2"/>
        <v>1</v>
      </c>
      <c r="K1242" s="7" t="str">
        <f>IFERROR(__xludf.DUMMYFUNCTION("regexreplace(G1242, ""_"", """")"),"gastrointestinalneed")</f>
        <v>gastrointestinalneed</v>
      </c>
      <c r="L1242" s="70" t="s">
        <v>4811</v>
      </c>
      <c r="M1242" s="70" t="s">
        <v>4811</v>
      </c>
    </row>
    <row r="1243">
      <c r="A1243" s="70"/>
      <c r="B1243" s="68" t="s">
        <v>4623</v>
      </c>
      <c r="C1243" s="68" t="s">
        <v>4812</v>
      </c>
      <c r="D1243" s="68" t="s">
        <v>4732</v>
      </c>
      <c r="E1243" s="70" t="s">
        <v>4813</v>
      </c>
      <c r="F1243" s="71">
        <f t="shared" si="61"/>
        <v>2</v>
      </c>
      <c r="G1243" s="68" t="s">
        <v>4814</v>
      </c>
      <c r="H1243" s="70"/>
      <c r="I1243" s="7" t="str">
        <f>IFERROR(__xludf.DUMMYFUNCTION("regexreplace(lower(C1243), ""_"", """")"),"audiologicreceive")</f>
        <v>audiologicreceive</v>
      </c>
      <c r="J1243" s="9" t="b">
        <f t="shared" si="2"/>
        <v>1</v>
      </c>
      <c r="K1243" s="7" t="str">
        <f>IFERROR(__xludf.DUMMYFUNCTION("regexreplace(G1243, ""_"", """")"),"audiologicreceive")</f>
        <v>audiologicreceive</v>
      </c>
      <c r="L1243" s="70" t="s">
        <v>4815</v>
      </c>
      <c r="M1243" s="70" t="s">
        <v>4815</v>
      </c>
    </row>
    <row r="1244">
      <c r="A1244" s="70"/>
      <c r="B1244" s="68" t="s">
        <v>4623</v>
      </c>
      <c r="C1244" s="68" t="s">
        <v>4816</v>
      </c>
      <c r="D1244" s="68" t="s">
        <v>43</v>
      </c>
      <c r="E1244" s="70" t="s">
        <v>4817</v>
      </c>
      <c r="F1244" s="71">
        <f t="shared" si="61"/>
        <v>2</v>
      </c>
      <c r="G1244" s="68" t="s">
        <v>4818</v>
      </c>
      <c r="H1244" s="70"/>
      <c r="I1244" s="7" t="str">
        <f>IFERROR(__xludf.DUMMYFUNCTION("regexreplace(lower(C1244), ""_"", """")"),"audiologicneed")</f>
        <v>audiologicneed</v>
      </c>
      <c r="J1244" s="9" t="b">
        <f t="shared" si="2"/>
        <v>1</v>
      </c>
      <c r="K1244" s="7" t="str">
        <f>IFERROR(__xludf.DUMMYFUNCTION("regexreplace(G1244, ""_"", """")"),"audiologicneed")</f>
        <v>audiologicneed</v>
      </c>
      <c r="L1244" s="70" t="s">
        <v>4819</v>
      </c>
      <c r="M1244" s="70" t="s">
        <v>4819</v>
      </c>
    </row>
    <row r="1245">
      <c r="A1245" s="70"/>
      <c r="B1245" s="68" t="s">
        <v>4623</v>
      </c>
      <c r="C1245" s="68" t="s">
        <v>4820</v>
      </c>
      <c r="D1245" s="68" t="s">
        <v>4732</v>
      </c>
      <c r="E1245" s="70" t="s">
        <v>4821</v>
      </c>
      <c r="F1245" s="71">
        <f t="shared" si="61"/>
        <v>2</v>
      </c>
      <c r="G1245" s="68" t="s">
        <v>4822</v>
      </c>
      <c r="H1245" s="70"/>
      <c r="I1245" s="7" t="str">
        <f>IFERROR(__xludf.DUMMYFUNCTION("regexreplace(lower(C1245), ""_"", """")"),"neurologicreceive")</f>
        <v>neurologicreceive</v>
      </c>
      <c r="J1245" s="9" t="b">
        <f t="shared" si="2"/>
        <v>1</v>
      </c>
      <c r="K1245" s="7" t="str">
        <f>IFERROR(__xludf.DUMMYFUNCTION("regexreplace(G1245, ""_"", """")"),"neurologicreceive")</f>
        <v>neurologicreceive</v>
      </c>
      <c r="L1245" s="70" t="s">
        <v>4823</v>
      </c>
      <c r="M1245" s="70" t="s">
        <v>4823</v>
      </c>
    </row>
    <row r="1246">
      <c r="A1246" s="70"/>
      <c r="B1246" s="68" t="s">
        <v>4623</v>
      </c>
      <c r="C1246" s="68" t="s">
        <v>4824</v>
      </c>
      <c r="D1246" s="68" t="s">
        <v>43</v>
      </c>
      <c r="E1246" s="70" t="s">
        <v>4825</v>
      </c>
      <c r="F1246" s="71">
        <f t="shared" si="61"/>
        <v>2</v>
      </c>
      <c r="G1246" s="68" t="s">
        <v>4826</v>
      </c>
      <c r="H1246" s="70"/>
      <c r="I1246" s="7" t="str">
        <f>IFERROR(__xludf.DUMMYFUNCTION("regexreplace(lower(C1246), ""_"", """")"),"neurologicneed")</f>
        <v>neurologicneed</v>
      </c>
      <c r="J1246" s="9" t="b">
        <f t="shared" si="2"/>
        <v>1</v>
      </c>
      <c r="K1246" s="7" t="str">
        <f>IFERROR(__xludf.DUMMYFUNCTION("regexreplace(G1246, ""_"", """")"),"neurologicneed")</f>
        <v>neurologicneed</v>
      </c>
      <c r="L1246" s="70" t="s">
        <v>4827</v>
      </c>
      <c r="M1246" s="70" t="s">
        <v>4827</v>
      </c>
    </row>
    <row r="1247">
      <c r="A1247" s="70"/>
      <c r="B1247" s="68" t="s">
        <v>4623</v>
      </c>
      <c r="C1247" s="68" t="s">
        <v>4828</v>
      </c>
      <c r="D1247" s="68" t="s">
        <v>4732</v>
      </c>
      <c r="E1247" s="70" t="s">
        <v>4829</v>
      </c>
      <c r="F1247" s="71">
        <f t="shared" si="61"/>
        <v>2</v>
      </c>
      <c r="G1247" s="68" t="s">
        <v>4830</v>
      </c>
      <c r="H1247" s="70"/>
      <c r="I1247" s="7" t="str">
        <f>IFERROR(__xludf.DUMMYFUNCTION("regexreplace(lower(C1247), ""_"", """")"),"otherreceive")</f>
        <v>otherreceive</v>
      </c>
      <c r="J1247" s="9" t="b">
        <f t="shared" si="2"/>
        <v>1</v>
      </c>
      <c r="K1247" s="7" t="str">
        <f>IFERROR(__xludf.DUMMYFUNCTION("regexreplace(G1247, ""_"", """")"),"otherreceive")</f>
        <v>otherreceive</v>
      </c>
      <c r="L1247" s="70" t="s">
        <v>4831</v>
      </c>
      <c r="M1247" s="70" t="s">
        <v>4831</v>
      </c>
    </row>
    <row r="1248">
      <c r="A1248" s="70"/>
      <c r="B1248" s="68" t="s">
        <v>4623</v>
      </c>
      <c r="C1248" s="68" t="s">
        <v>4832</v>
      </c>
      <c r="D1248" s="68" t="s">
        <v>43</v>
      </c>
      <c r="E1248" s="70" t="s">
        <v>4833</v>
      </c>
      <c r="F1248" s="71">
        <f t="shared" si="61"/>
        <v>2</v>
      </c>
      <c r="G1248" s="68" t="s">
        <v>4834</v>
      </c>
      <c r="H1248" s="70"/>
      <c r="I1248" s="7" t="str">
        <f>IFERROR(__xludf.DUMMYFUNCTION("regexreplace(lower(C1248), ""_"", """")"),"otherneed")</f>
        <v>otherneed</v>
      </c>
      <c r="J1248" s="9" t="b">
        <f t="shared" si="2"/>
        <v>1</v>
      </c>
      <c r="K1248" s="7" t="str">
        <f>IFERROR(__xludf.DUMMYFUNCTION("regexreplace(G1248, ""_"", """")"),"otherneed")</f>
        <v>otherneed</v>
      </c>
      <c r="L1248" s="70" t="s">
        <v>4835</v>
      </c>
      <c r="M1248" s="70" t="s">
        <v>4835</v>
      </c>
    </row>
    <row r="1249">
      <c r="A1249" s="70"/>
      <c r="B1249" s="68" t="s">
        <v>4623</v>
      </c>
      <c r="C1249" s="68" t="s">
        <v>4836</v>
      </c>
      <c r="D1249" s="68" t="s">
        <v>19</v>
      </c>
      <c r="E1249" s="70" t="s">
        <v>3257</v>
      </c>
      <c r="F1249" s="71">
        <f t="shared" si="61"/>
        <v>2</v>
      </c>
      <c r="G1249" s="68" t="s">
        <v>4837</v>
      </c>
      <c r="H1249" s="70"/>
      <c r="I1249" s="7" t="str">
        <f>IFERROR(__xludf.DUMMYFUNCTION("regexreplace(lower(C1249), ""_"", """")"),"otherneedtext")</f>
        <v>otherneedtext</v>
      </c>
      <c r="J1249" s="9" t="b">
        <f t="shared" si="2"/>
        <v>1</v>
      </c>
      <c r="K1249" s="7" t="str">
        <f>IFERROR(__xludf.DUMMYFUNCTION("regexreplace(G1249, ""_"", """")"),"otherneedtext")</f>
        <v>otherneedtext</v>
      </c>
      <c r="L1249" s="70" t="s">
        <v>4838</v>
      </c>
      <c r="M1249" s="70" t="s">
        <v>4838</v>
      </c>
    </row>
    <row r="1250">
      <c r="A1250" s="70"/>
      <c r="B1250" s="68" t="s">
        <v>4623</v>
      </c>
      <c r="C1250" s="68" t="s">
        <v>4839</v>
      </c>
      <c r="D1250" s="68" t="s">
        <v>4732</v>
      </c>
      <c r="E1250" s="70" t="s">
        <v>4840</v>
      </c>
      <c r="F1250" s="71">
        <f t="shared" si="61"/>
        <v>2</v>
      </c>
      <c r="G1250" s="68" t="s">
        <v>4841</v>
      </c>
      <c r="H1250" s="70"/>
      <c r="I1250" s="7" t="str">
        <f>IFERROR(__xludf.DUMMYFUNCTION("regexreplace(lower(C1250), ""_"", """")"),"neurodevelopmentreceive")</f>
        <v>neurodevelopmentreceive</v>
      </c>
      <c r="J1250" s="9" t="b">
        <f t="shared" si="2"/>
        <v>1</v>
      </c>
      <c r="K1250" s="7" t="str">
        <f>IFERROR(__xludf.DUMMYFUNCTION("regexreplace(G1250, ""_"", """")"),"neurodevelopmentreceive")</f>
        <v>neurodevelopmentreceive</v>
      </c>
      <c r="L1250" s="70" t="s">
        <v>4842</v>
      </c>
      <c r="M1250" s="70" t="s">
        <v>4842</v>
      </c>
    </row>
    <row r="1251">
      <c r="A1251" s="70"/>
      <c r="B1251" s="68" t="s">
        <v>4623</v>
      </c>
      <c r="C1251" s="68" t="s">
        <v>4843</v>
      </c>
      <c r="D1251" s="68" t="s">
        <v>43</v>
      </c>
      <c r="E1251" s="70" t="s">
        <v>4844</v>
      </c>
      <c r="F1251" s="71">
        <f t="shared" si="61"/>
        <v>2</v>
      </c>
      <c r="G1251" s="68" t="s">
        <v>4845</v>
      </c>
      <c r="H1251" s="70"/>
      <c r="I1251" s="7" t="str">
        <f>IFERROR(__xludf.DUMMYFUNCTION("regexreplace(lower(C1251), ""_"", """")"),"neurodevelopmentneed")</f>
        <v>neurodevelopmentneed</v>
      </c>
      <c r="J1251" s="9" t="b">
        <f t="shared" si="2"/>
        <v>1</v>
      </c>
      <c r="K1251" s="7" t="str">
        <f>IFERROR(__xludf.DUMMYFUNCTION("regexreplace(G1251, ""_"", """")"),"neurodevelopmentneed")</f>
        <v>neurodevelopmentneed</v>
      </c>
      <c r="L1251" s="70" t="s">
        <v>4846</v>
      </c>
      <c r="M1251" s="70" t="s">
        <v>4846</v>
      </c>
    </row>
    <row r="1252">
      <c r="A1252" s="70"/>
      <c r="B1252" s="68" t="s">
        <v>4623</v>
      </c>
      <c r="C1252" s="68" t="s">
        <v>4847</v>
      </c>
      <c r="D1252" s="68" t="s">
        <v>4732</v>
      </c>
      <c r="E1252" s="70" t="s">
        <v>4848</v>
      </c>
      <c r="F1252" s="71">
        <f t="shared" si="61"/>
        <v>1</v>
      </c>
      <c r="G1252" s="68" t="s">
        <v>4849</v>
      </c>
      <c r="H1252" s="70"/>
      <c r="I1252" s="7" t="str">
        <f>IFERROR(__xludf.DUMMYFUNCTION("regexreplace(lower(C1252), ""_"", """")"),"prematurefollowupclinicreceive")</f>
        <v>prematurefollowupclinicreceive</v>
      </c>
      <c r="J1252" s="9" t="b">
        <f t="shared" si="2"/>
        <v>1</v>
      </c>
      <c r="K1252" s="7" t="str">
        <f>IFERROR(__xludf.DUMMYFUNCTION("regexreplace(G1252, ""_"", """")"),"prematurefollowupclinicreceive")</f>
        <v>prematurefollowupclinicreceive</v>
      </c>
      <c r="L1252" s="70" t="s">
        <v>4850</v>
      </c>
      <c r="M1252" s="70"/>
    </row>
    <row r="1253">
      <c r="A1253" s="70"/>
      <c r="B1253" s="68" t="s">
        <v>4623</v>
      </c>
      <c r="C1253" s="68" t="s">
        <v>4851</v>
      </c>
      <c r="D1253" s="68" t="s">
        <v>43</v>
      </c>
      <c r="E1253" s="70" t="s">
        <v>4852</v>
      </c>
      <c r="F1253" s="71">
        <f t="shared" si="61"/>
        <v>1</v>
      </c>
      <c r="G1253" s="68" t="s">
        <v>4853</v>
      </c>
      <c r="H1253" s="70"/>
      <c r="I1253" s="7" t="str">
        <f>IFERROR(__xludf.DUMMYFUNCTION("regexreplace(lower(C1253), ""_"", """")"),"prematurefollowupclinicneed")</f>
        <v>prematurefollowupclinicneed</v>
      </c>
      <c r="J1253" s="9" t="b">
        <f t="shared" si="2"/>
        <v>1</v>
      </c>
      <c r="K1253" s="7" t="str">
        <f>IFERROR(__xludf.DUMMYFUNCTION("regexreplace(G1253, ""_"", """")"),"prematurefollowupclinicneed")</f>
        <v>prematurefollowupclinicneed</v>
      </c>
      <c r="L1253" s="70" t="s">
        <v>4854</v>
      </c>
      <c r="M1253" s="70"/>
    </row>
    <row r="1254">
      <c r="A1254" s="70"/>
      <c r="B1254" s="68" t="s">
        <v>4623</v>
      </c>
      <c r="C1254" s="68" t="s">
        <v>4855</v>
      </c>
      <c r="D1254" s="68" t="s">
        <v>43</v>
      </c>
      <c r="E1254" s="70" t="s">
        <v>4856</v>
      </c>
      <c r="F1254" s="71">
        <f t="shared" si="61"/>
        <v>2</v>
      </c>
      <c r="G1254" s="68" t="s">
        <v>4857</v>
      </c>
      <c r="H1254" s="70"/>
      <c r="I1254" s="7" t="str">
        <f>IFERROR(__xludf.DUMMYFUNCTION("regexreplace(lower(C1254), ""_"", """")"),"regulardoctor")</f>
        <v>regulardoctor</v>
      </c>
      <c r="J1254" s="9" t="b">
        <f t="shared" si="2"/>
        <v>1</v>
      </c>
      <c r="K1254" s="7" t="str">
        <f>IFERROR(__xludf.DUMMYFUNCTION("regexreplace(G1254, ""_"", """")"),"regulardoctor")</f>
        <v>regulardoctor</v>
      </c>
      <c r="L1254" s="70" t="s">
        <v>4858</v>
      </c>
      <c r="M1254" s="70" t="s">
        <v>4858</v>
      </c>
    </row>
    <row r="1255">
      <c r="A1255" s="70"/>
      <c r="B1255" s="68" t="s">
        <v>4623</v>
      </c>
      <c r="C1255" s="68" t="s">
        <v>4859</v>
      </c>
      <c r="D1255" s="68" t="s">
        <v>43</v>
      </c>
      <c r="E1255" s="70" t="s">
        <v>4860</v>
      </c>
      <c r="F1255" s="71">
        <f t="shared" si="61"/>
        <v>2</v>
      </c>
      <c r="G1255" s="68" t="s">
        <v>4861</v>
      </c>
      <c r="H1255" s="70"/>
      <c r="I1255" s="7" t="str">
        <f>IFERROR(__xludf.DUMMYFUNCTION("regexreplace(lower(C1255), ""_"", """")"),"residechroniccarefacility")</f>
        <v>residechroniccarefacility</v>
      </c>
      <c r="J1255" s="9" t="b">
        <f t="shared" si="2"/>
        <v>1</v>
      </c>
      <c r="K1255" s="7" t="str">
        <f>IFERROR(__xludf.DUMMYFUNCTION("regexreplace(G1255, ""_"", """")"),"residechroniccarefacility")</f>
        <v>residechroniccarefacility</v>
      </c>
      <c r="L1255" s="70" t="s">
        <v>4862</v>
      </c>
      <c r="M1255" s="70" t="s">
        <v>4862</v>
      </c>
    </row>
    <row r="1256">
      <c r="A1256" s="70"/>
      <c r="B1256" s="68" t="s">
        <v>4623</v>
      </c>
      <c r="C1256" s="68" t="s">
        <v>4863</v>
      </c>
      <c r="D1256" s="68" t="s">
        <v>43</v>
      </c>
      <c r="E1256" s="70" t="s">
        <v>4864</v>
      </c>
      <c r="F1256" s="71">
        <f t="shared" si="61"/>
        <v>2</v>
      </c>
      <c r="G1256" s="68" t="s">
        <v>4865</v>
      </c>
      <c r="H1256" s="70"/>
      <c r="I1256" s="7" t="str">
        <f>IFERROR(__xludf.DUMMYFUNCTION("regexreplace(lower(C1256), ""_"", """")"),"takencareofbyother")</f>
        <v>takencareofbyother</v>
      </c>
      <c r="J1256" s="9" t="b">
        <f t="shared" si="2"/>
        <v>1</v>
      </c>
      <c r="K1256" s="7" t="str">
        <f>IFERROR(__xludf.DUMMYFUNCTION("regexreplace(G1256, ""_"", """")"),"takencareofbyother")</f>
        <v>takencareofbyother</v>
      </c>
      <c r="L1256" s="70" t="s">
        <v>4866</v>
      </c>
      <c r="M1256" s="70" t="s">
        <v>4866</v>
      </c>
    </row>
    <row r="1257">
      <c r="A1257" s="70"/>
      <c r="B1257" s="68" t="s">
        <v>4623</v>
      </c>
      <c r="C1257" s="68" t="s">
        <v>4867</v>
      </c>
      <c r="D1257" s="68" t="s">
        <v>43</v>
      </c>
      <c r="E1257" s="70" t="s">
        <v>4868</v>
      </c>
      <c r="F1257" s="71">
        <f t="shared" si="61"/>
        <v>2</v>
      </c>
      <c r="G1257" s="68" t="s">
        <v>4869</v>
      </c>
      <c r="H1257" s="70"/>
      <c r="I1257" s="7" t="str">
        <f>IFERROR(__xludf.DUMMYFUNCTION("regexreplace(lower(C1257), ""_"", """")"),"traditionalcentercare")</f>
        <v>traditionalcentercare</v>
      </c>
      <c r="J1257" s="9" t="b">
        <f t="shared" si="2"/>
        <v>1</v>
      </c>
      <c r="K1257" s="7" t="str">
        <f>IFERROR(__xludf.DUMMYFUNCTION("regexreplace(G1257, ""_"", """")"),"traditionalcentercare")</f>
        <v>traditionalcentercare</v>
      </c>
      <c r="L1257" s="70" t="s">
        <v>4870</v>
      </c>
      <c r="M1257" s="70" t="s">
        <v>4870</v>
      </c>
    </row>
    <row r="1258">
      <c r="A1258" s="70"/>
      <c r="B1258" s="68" t="s">
        <v>4623</v>
      </c>
      <c r="C1258" s="68" t="s">
        <v>4871</v>
      </c>
      <c r="D1258" s="68" t="s">
        <v>34</v>
      </c>
      <c r="E1258" s="70" t="s">
        <v>4872</v>
      </c>
      <c r="F1258" s="71">
        <f t="shared" si="61"/>
        <v>2</v>
      </c>
      <c r="G1258" s="68" t="s">
        <v>4873</v>
      </c>
      <c r="H1258" s="70"/>
      <c r="I1258" s="7" t="str">
        <f>IFERROR(__xludf.DUMMYFUNCTION("regexreplace(lower(C1258), ""_"", """")"),"traditionalcentercareavghrperweek")</f>
        <v>traditionalcentercareavghrperweek</v>
      </c>
      <c r="J1258" s="9" t="b">
        <f t="shared" si="2"/>
        <v>1</v>
      </c>
      <c r="K1258" s="7" t="str">
        <f>IFERROR(__xludf.DUMMYFUNCTION("regexreplace(G1258, ""_"", """")"),"traditionalcentercareavghrperweek")</f>
        <v>traditionalcentercareavghrperweek</v>
      </c>
      <c r="L1258" s="70" t="s">
        <v>4874</v>
      </c>
      <c r="M1258" s="70" t="s">
        <v>4874</v>
      </c>
    </row>
    <row r="1259">
      <c r="A1259" s="70"/>
      <c r="B1259" s="68" t="s">
        <v>4623</v>
      </c>
      <c r="C1259" s="68" t="s">
        <v>4875</v>
      </c>
      <c r="D1259" s="68" t="s">
        <v>43</v>
      </c>
      <c r="E1259" s="70" t="s">
        <v>4876</v>
      </c>
      <c r="F1259" s="71">
        <f t="shared" si="61"/>
        <v>2</v>
      </c>
      <c r="G1259" s="68" t="s">
        <v>4877</v>
      </c>
      <c r="H1259" s="70"/>
      <c r="I1259" s="7" t="str">
        <f>IFERROR(__xludf.DUMMYFUNCTION("regexreplace(lower(C1259), ""_"", """")"),"medicalchildcare")</f>
        <v>medicalchildcare</v>
      </c>
      <c r="J1259" s="9" t="b">
        <f t="shared" si="2"/>
        <v>1</v>
      </c>
      <c r="K1259" s="7" t="str">
        <f>IFERROR(__xludf.DUMMYFUNCTION("regexreplace(G1259, ""_"", """")"),"medicalchildcare")</f>
        <v>medicalchildcare</v>
      </c>
      <c r="L1259" s="70" t="s">
        <v>4878</v>
      </c>
      <c r="M1259" s="70" t="s">
        <v>4878</v>
      </c>
    </row>
    <row r="1260">
      <c r="A1260" s="70"/>
      <c r="B1260" s="68" t="s">
        <v>4623</v>
      </c>
      <c r="C1260" s="68" t="s">
        <v>4879</v>
      </c>
      <c r="D1260" s="68" t="s">
        <v>34</v>
      </c>
      <c r="E1260" s="70" t="s">
        <v>4880</v>
      </c>
      <c r="F1260" s="71">
        <f t="shared" si="61"/>
        <v>2</v>
      </c>
      <c r="G1260" s="68" t="s">
        <v>4881</v>
      </c>
      <c r="H1260" s="70"/>
      <c r="I1260" s="7" t="str">
        <f>IFERROR(__xludf.DUMMYFUNCTION("regexreplace(lower(C1260), ""_"", """")"),"medicalchildcareavghrperweek")</f>
        <v>medicalchildcareavghrperweek</v>
      </c>
      <c r="J1260" s="9" t="b">
        <f t="shared" si="2"/>
        <v>1</v>
      </c>
      <c r="K1260" s="7" t="str">
        <f>IFERROR(__xludf.DUMMYFUNCTION("regexreplace(G1260, ""_"", """")"),"medicalchildcareavghrperweek")</f>
        <v>medicalchildcareavghrperweek</v>
      </c>
      <c r="L1260" s="70" t="s">
        <v>4882</v>
      </c>
      <c r="M1260" s="70" t="s">
        <v>4882</v>
      </c>
    </row>
    <row r="1261">
      <c r="A1261" s="70"/>
      <c r="B1261" s="68" t="s">
        <v>4623</v>
      </c>
      <c r="C1261" s="68" t="s">
        <v>4883</v>
      </c>
      <c r="D1261" s="68" t="s">
        <v>4884</v>
      </c>
      <c r="E1261" s="70" t="s">
        <v>4885</v>
      </c>
      <c r="F1261" s="71">
        <f t="shared" si="61"/>
        <v>2</v>
      </c>
      <c r="G1261" s="68" t="s">
        <v>4886</v>
      </c>
      <c r="H1261" s="70"/>
      <c r="I1261" s="7" t="str">
        <f>IFERROR(__xludf.DUMMYFUNCTION("regexreplace(lower(C1261), ""_"", """")"),"medicalchildcarewhere")</f>
        <v>medicalchildcarewhere</v>
      </c>
      <c r="J1261" s="9" t="b">
        <f t="shared" si="2"/>
        <v>1</v>
      </c>
      <c r="K1261" s="7" t="str">
        <f>IFERROR(__xludf.DUMMYFUNCTION("regexreplace(G1261, ""_"", """")"),"medicalchildcarewhere")</f>
        <v>medicalchildcarewhere</v>
      </c>
      <c r="L1261" s="70" t="s">
        <v>4887</v>
      </c>
      <c r="M1261" s="70" t="s">
        <v>4887</v>
      </c>
    </row>
    <row r="1262">
      <c r="A1262" s="70"/>
      <c r="B1262" s="68" t="s">
        <v>4623</v>
      </c>
      <c r="C1262" s="68" t="s">
        <v>4888</v>
      </c>
      <c r="D1262" s="68" t="s">
        <v>43</v>
      </c>
      <c r="E1262" s="70" t="s">
        <v>4889</v>
      </c>
      <c r="F1262" s="71">
        <f t="shared" si="61"/>
        <v>2</v>
      </c>
      <c r="G1262" s="68" t="s">
        <v>4890</v>
      </c>
      <c r="H1262" s="70"/>
      <c r="I1262" s="7" t="str">
        <f>IFERROR(__xludf.DUMMYFUNCTION("regexreplace(lower(C1262), ""_"", """")"),"traditionalhomecare")</f>
        <v>traditionalhomecare</v>
      </c>
      <c r="J1262" s="9" t="b">
        <f t="shared" si="2"/>
        <v>1</v>
      </c>
      <c r="K1262" s="7" t="str">
        <f>IFERROR(__xludf.DUMMYFUNCTION("regexreplace(G1262, ""_"", """")"),"traditionalhomecare")</f>
        <v>traditionalhomecare</v>
      </c>
      <c r="L1262" s="70" t="s">
        <v>4891</v>
      </c>
      <c r="M1262" s="70" t="s">
        <v>4891</v>
      </c>
    </row>
    <row r="1263">
      <c r="A1263" s="70"/>
      <c r="B1263" s="68" t="s">
        <v>4623</v>
      </c>
      <c r="C1263" s="68" t="s">
        <v>4892</v>
      </c>
      <c r="D1263" s="68" t="s">
        <v>34</v>
      </c>
      <c r="E1263" s="70" t="s">
        <v>4893</v>
      </c>
      <c r="F1263" s="71">
        <f t="shared" si="61"/>
        <v>2</v>
      </c>
      <c r="G1263" s="68" t="s">
        <v>4894</v>
      </c>
      <c r="H1263" s="70"/>
      <c r="I1263" s="7" t="str">
        <f>IFERROR(__xludf.DUMMYFUNCTION("regexreplace(lower(C1263), ""_"", """")"),"traditionalhomecareavghrperweek")</f>
        <v>traditionalhomecareavghrperweek</v>
      </c>
      <c r="J1263" s="9" t="b">
        <f t="shared" si="2"/>
        <v>1</v>
      </c>
      <c r="K1263" s="7" t="str">
        <f>IFERROR(__xludf.DUMMYFUNCTION("regexreplace(G1263, ""_"", """")"),"traditionalhomecareavghrperweek")</f>
        <v>traditionalhomecareavghrperweek</v>
      </c>
      <c r="L1263" s="70" t="s">
        <v>4895</v>
      </c>
      <c r="M1263" s="70" t="s">
        <v>4895</v>
      </c>
    </row>
    <row r="1264">
      <c r="A1264" s="70"/>
      <c r="B1264" s="68" t="s">
        <v>4623</v>
      </c>
      <c r="C1264" s="68" t="s">
        <v>4896</v>
      </c>
      <c r="D1264" s="68" t="s">
        <v>4884</v>
      </c>
      <c r="E1264" s="70" t="s">
        <v>4897</v>
      </c>
      <c r="F1264" s="71">
        <f t="shared" si="61"/>
        <v>2</v>
      </c>
      <c r="G1264" s="68" t="s">
        <v>4898</v>
      </c>
      <c r="H1264" s="70"/>
      <c r="I1264" s="7" t="str">
        <f>IFERROR(__xludf.DUMMYFUNCTION("regexreplace(lower(C1264), ""_"", """")"),"traditionalhomecarewhose")</f>
        <v>traditionalhomecarewhose</v>
      </c>
      <c r="J1264" s="9" t="b">
        <f t="shared" si="2"/>
        <v>1</v>
      </c>
      <c r="K1264" s="7" t="str">
        <f>IFERROR(__xludf.DUMMYFUNCTION("regexreplace(G1264, ""_"", """")"),"traditionalhomecarewhose")</f>
        <v>traditionalhomecarewhose</v>
      </c>
      <c r="L1264" s="72" t="s">
        <v>4899</v>
      </c>
      <c r="M1264" s="72" t="s">
        <v>4899</v>
      </c>
    </row>
    <row r="1265">
      <c r="A1265" s="70"/>
      <c r="B1265" s="68" t="s">
        <v>4623</v>
      </c>
      <c r="C1265" s="68" t="s">
        <v>4900</v>
      </c>
      <c r="D1265" s="68" t="s">
        <v>43</v>
      </c>
      <c r="E1265" s="70" t="s">
        <v>4900</v>
      </c>
      <c r="F1265" s="71">
        <f t="shared" si="61"/>
        <v>2</v>
      </c>
      <c r="G1265" s="68" t="s">
        <v>4900</v>
      </c>
      <c r="H1265" s="70"/>
      <c r="I1265" s="7" t="str">
        <f>IFERROR(__xludf.DUMMYFUNCTION("regexreplace(lower(C1265), ""_"", """")"),"babysitter")</f>
        <v>babysitter</v>
      </c>
      <c r="J1265" s="9" t="b">
        <f t="shared" si="2"/>
        <v>1</v>
      </c>
      <c r="K1265" s="7" t="str">
        <f>IFERROR(__xludf.DUMMYFUNCTION("regexreplace(G1265, ""_"", """")"),"babysitter")</f>
        <v>babysitter</v>
      </c>
      <c r="L1265" s="70" t="s">
        <v>4901</v>
      </c>
      <c r="M1265" s="70" t="s">
        <v>4901</v>
      </c>
    </row>
    <row r="1266">
      <c r="A1266" s="70"/>
      <c r="B1266" s="68" t="s">
        <v>4623</v>
      </c>
      <c r="C1266" s="68" t="s">
        <v>4902</v>
      </c>
      <c r="D1266" s="68" t="s">
        <v>34</v>
      </c>
      <c r="E1266" s="70" t="s">
        <v>4903</v>
      </c>
      <c r="F1266" s="71">
        <f t="shared" si="61"/>
        <v>2</v>
      </c>
      <c r="G1266" s="68" t="s">
        <v>4904</v>
      </c>
      <c r="H1266" s="70"/>
      <c r="I1266" s="7" t="str">
        <f>IFERROR(__xludf.DUMMYFUNCTION("regexreplace(lower(C1266), ""_"", """")"),"babysitteravghrperweek")</f>
        <v>babysitteravghrperweek</v>
      </c>
      <c r="J1266" s="9" t="b">
        <f t="shared" si="2"/>
        <v>1</v>
      </c>
      <c r="K1266" s="7" t="str">
        <f>IFERROR(__xludf.DUMMYFUNCTION("regexreplace(G1266, ""_"", """")"),"babysitteravghrperweek")</f>
        <v>babysitteravghrperweek</v>
      </c>
      <c r="L1266" s="70" t="s">
        <v>4905</v>
      </c>
      <c r="M1266" s="70" t="s">
        <v>4905</v>
      </c>
    </row>
    <row r="1267">
      <c r="A1267" s="70"/>
      <c r="B1267" s="68" t="s">
        <v>4623</v>
      </c>
      <c r="C1267" s="68" t="s">
        <v>4906</v>
      </c>
      <c r="D1267" s="68" t="s">
        <v>4906</v>
      </c>
      <c r="E1267" s="70" t="s">
        <v>4907</v>
      </c>
      <c r="F1267" s="71">
        <f t="shared" si="61"/>
        <v>2</v>
      </c>
      <c r="G1267" s="68" t="s">
        <v>4908</v>
      </c>
      <c r="H1267" s="70"/>
      <c r="I1267" s="7" t="str">
        <f>IFERROR(__xludf.DUMMYFUNCTION("regexreplace(lower(C1267), ""_"", """")"),"babysitterrelation")</f>
        <v>babysitterrelation</v>
      </c>
      <c r="J1267" s="9" t="b">
        <f t="shared" si="2"/>
        <v>1</v>
      </c>
      <c r="K1267" s="7" t="str">
        <f>IFERROR(__xludf.DUMMYFUNCTION("regexreplace(G1267, ""_"", """")"),"babysitterrelation")</f>
        <v>babysitterrelation</v>
      </c>
      <c r="L1267" s="70" t="s">
        <v>4909</v>
      </c>
      <c r="M1267" s="70" t="s">
        <v>4909</v>
      </c>
    </row>
    <row r="1268">
      <c r="A1268" s="70"/>
      <c r="B1268" s="68" t="s">
        <v>4623</v>
      </c>
      <c r="C1268" s="68" t="s">
        <v>4910</v>
      </c>
      <c r="D1268" s="68" t="s">
        <v>4911</v>
      </c>
      <c r="E1268" s="70" t="s">
        <v>4912</v>
      </c>
      <c r="F1268" s="71">
        <f t="shared" si="61"/>
        <v>2</v>
      </c>
      <c r="G1268" s="68" t="s">
        <v>4913</v>
      </c>
      <c r="H1268" s="70"/>
      <c r="I1268" s="7" t="str">
        <f>IFERROR(__xludf.DUMMYFUNCTION("regexreplace(lower(C1268), ""_"", """")"),"sesinterviewwhere")</f>
        <v>sesinterviewwhere</v>
      </c>
      <c r="J1268" s="9" t="b">
        <f t="shared" si="2"/>
        <v>1</v>
      </c>
      <c r="K1268" s="7" t="str">
        <f>IFERROR(__xludf.DUMMYFUNCTION("regexreplace(G1268, ""_"", """")"),"sesinterviewwhere")</f>
        <v>sesinterviewwhere</v>
      </c>
      <c r="L1268" s="70" t="s">
        <v>4914</v>
      </c>
      <c r="M1268" s="70" t="s">
        <v>4914</v>
      </c>
    </row>
    <row r="1269">
      <c r="A1269" s="70"/>
      <c r="B1269" s="68" t="s">
        <v>4623</v>
      </c>
      <c r="C1269" s="68" t="s">
        <v>4915</v>
      </c>
      <c r="D1269" s="68" t="s">
        <v>29</v>
      </c>
      <c r="E1269" s="70" t="s">
        <v>4916</v>
      </c>
      <c r="F1269" s="71">
        <f t="shared" si="61"/>
        <v>2</v>
      </c>
      <c r="G1269" s="68" t="s">
        <v>4917</v>
      </c>
      <c r="H1269" s="70"/>
      <c r="I1269" s="7" t="str">
        <f>IFERROR(__xludf.DUMMYFUNCTION("regexreplace(lower(C1269), ""_"", """")"),"sesinterviewdate")</f>
        <v>sesinterviewdate</v>
      </c>
      <c r="J1269" s="9" t="b">
        <f t="shared" si="2"/>
        <v>1</v>
      </c>
      <c r="K1269" s="7" t="str">
        <f>IFERROR(__xludf.DUMMYFUNCTION("regexreplace(G1269, ""_"", """")"),"sesinterviewdate")</f>
        <v>sesinterviewdate</v>
      </c>
      <c r="L1269" s="70" t="s">
        <v>4918</v>
      </c>
      <c r="M1269" s="70" t="s">
        <v>4918</v>
      </c>
    </row>
    <row r="1270">
      <c r="A1270" s="12"/>
      <c r="B1270" s="12"/>
      <c r="C1270" s="13"/>
      <c r="D1270" s="12"/>
      <c r="E1270" s="12"/>
      <c r="F1270" s="12"/>
      <c r="G1270" s="12" t="s">
        <v>913</v>
      </c>
      <c r="H1270" s="12"/>
      <c r="I1270" s="7" t="str">
        <f>IFERROR(__xludf.DUMMYFUNCTION("regexreplace(lower(C1270), ""_"", """")"),"")</f>
        <v/>
      </c>
      <c r="J1270" s="9" t="str">
        <f t="shared" si="2"/>
        <v/>
      </c>
      <c r="K1270" s="7" t="str">
        <f>IFERROR(__xludf.DUMMYFUNCTION("regexreplace(G1270, ""_"", """")"),"")</f>
        <v/>
      </c>
      <c r="L1270" s="12"/>
      <c r="M1270" s="12"/>
    </row>
    <row r="1271">
      <c r="A1271" s="68" t="s">
        <v>4607</v>
      </c>
      <c r="B1271" s="68" t="s">
        <v>4919</v>
      </c>
      <c r="C1271" s="68" t="s">
        <v>4920</v>
      </c>
      <c r="D1271" s="68" t="s">
        <v>43</v>
      </c>
      <c r="E1271" s="70" t="s">
        <v>4921</v>
      </c>
      <c r="F1271" s="71">
        <f t="shared" ref="F1271:F1333" si="62">counta(L1271:M1271)</f>
        <v>2</v>
      </c>
      <c r="G1271" s="68" t="s">
        <v>4920</v>
      </c>
      <c r="H1271" s="70"/>
      <c r="I1271" s="7" t="str">
        <f>IFERROR(__xludf.DUMMYFUNCTION("regexreplace(lower(C1271), ""_"", """")"),"rehospitalize")</f>
        <v>rehospitalize</v>
      </c>
      <c r="J1271" s="9" t="b">
        <f t="shared" si="2"/>
        <v>1</v>
      </c>
      <c r="K1271" s="7" t="str">
        <f>IFERROR(__xludf.DUMMYFUNCTION("regexreplace(G1271, ""_"", """")"),"rehospitalize")</f>
        <v>rehospitalize</v>
      </c>
      <c r="L1271" s="70" t="s">
        <v>4922</v>
      </c>
      <c r="M1271" s="70" t="s">
        <v>4922</v>
      </c>
    </row>
    <row r="1272">
      <c r="A1272" s="70"/>
      <c r="B1272" s="68" t="s">
        <v>4919</v>
      </c>
      <c r="C1272" s="68" t="s">
        <v>4923</v>
      </c>
      <c r="D1272" s="68" t="s">
        <v>34</v>
      </c>
      <c r="E1272" s="70" t="s">
        <v>4924</v>
      </c>
      <c r="F1272" s="71">
        <f t="shared" si="62"/>
        <v>2</v>
      </c>
      <c r="G1272" s="68" t="s">
        <v>4925</v>
      </c>
      <c r="H1272" s="70"/>
      <c r="I1272" s="7" t="str">
        <f>IFERROR(__xludf.DUMMYFUNCTION("regexreplace(lower(C1272), ""_"", """")"),"numberrehospitalize")</f>
        <v>numberrehospitalize</v>
      </c>
      <c r="J1272" s="9" t="b">
        <f t="shared" si="2"/>
        <v>1</v>
      </c>
      <c r="K1272" s="7" t="str">
        <f>IFERROR(__xludf.DUMMYFUNCTION("regexreplace(G1272, ""_"", """")"),"numberrehospitalize")</f>
        <v>numberrehospitalize</v>
      </c>
      <c r="L1272" s="70" t="s">
        <v>4926</v>
      </c>
      <c r="M1272" s="70" t="s">
        <v>4926</v>
      </c>
    </row>
    <row r="1273">
      <c r="A1273" s="70"/>
      <c r="B1273" s="68" t="s">
        <v>4919</v>
      </c>
      <c r="C1273" s="68" t="s">
        <v>4927</v>
      </c>
      <c r="D1273" s="68" t="s">
        <v>43</v>
      </c>
      <c r="E1273" s="70" t="s">
        <v>4928</v>
      </c>
      <c r="F1273" s="71">
        <f t="shared" si="62"/>
        <v>2</v>
      </c>
      <c r="G1273" s="68" t="s">
        <v>4927</v>
      </c>
      <c r="H1273" s="70"/>
      <c r="I1273" s="7" t="str">
        <f>IFERROR(__xludf.DUMMYFUNCTION("regexreplace(lower(C1273), ""_"", """")"),"operation")</f>
        <v>operation</v>
      </c>
      <c r="J1273" s="9" t="b">
        <f t="shared" si="2"/>
        <v>1</v>
      </c>
      <c r="K1273" s="7" t="str">
        <f>IFERROR(__xludf.DUMMYFUNCTION("regexreplace(G1273, ""_"", """")"),"operation")</f>
        <v>operation</v>
      </c>
      <c r="L1273" s="70" t="s">
        <v>4929</v>
      </c>
      <c r="M1273" s="70" t="s">
        <v>4929</v>
      </c>
    </row>
    <row r="1274">
      <c r="A1274" s="70"/>
      <c r="B1274" s="68" t="s">
        <v>4919</v>
      </c>
      <c r="C1274" s="68" t="s">
        <v>4930</v>
      </c>
      <c r="D1274" s="68" t="s">
        <v>43</v>
      </c>
      <c r="E1274" s="70" t="s">
        <v>4931</v>
      </c>
      <c r="F1274" s="71">
        <f t="shared" si="62"/>
        <v>2</v>
      </c>
      <c r="G1274" s="68" t="s">
        <v>4932</v>
      </c>
      <c r="H1274" s="70"/>
      <c r="I1274" s="7" t="str">
        <f>IFERROR(__xludf.DUMMYFUNCTION("regexreplace(lower(C1274), ""_"", """")"),"operationtypanostomytube")</f>
        <v>operationtypanostomytube</v>
      </c>
      <c r="J1274" s="9" t="b">
        <f t="shared" si="2"/>
        <v>1</v>
      </c>
      <c r="K1274" s="7" t="str">
        <f>IFERROR(__xludf.DUMMYFUNCTION("regexreplace(G1274, ""_"", """")"),"operationtypanostomytube")</f>
        <v>operationtypanostomytube</v>
      </c>
      <c r="L1274" s="70" t="s">
        <v>4933</v>
      </c>
      <c r="M1274" s="70" t="s">
        <v>4933</v>
      </c>
    </row>
    <row r="1275">
      <c r="A1275" s="70"/>
      <c r="B1275" s="68" t="s">
        <v>4919</v>
      </c>
      <c r="C1275" s="68" t="s">
        <v>4934</v>
      </c>
      <c r="D1275" s="68" t="s">
        <v>43</v>
      </c>
      <c r="E1275" s="70" t="s">
        <v>4935</v>
      </c>
      <c r="F1275" s="71">
        <f t="shared" si="62"/>
        <v>2</v>
      </c>
      <c r="G1275" s="68" t="s">
        <v>4936</v>
      </c>
      <c r="H1275" s="70"/>
      <c r="I1275" s="7" t="str">
        <f>IFERROR(__xludf.DUMMYFUNCTION("regexreplace(lower(C1275), ""_"", """")"),"operationtracheostomy")</f>
        <v>operationtracheostomy</v>
      </c>
      <c r="J1275" s="9" t="b">
        <f t="shared" si="2"/>
        <v>1</v>
      </c>
      <c r="K1275" s="7" t="str">
        <f>IFERROR(__xludf.DUMMYFUNCTION("regexreplace(G1275, ""_"", """")"),"operationtracheostomy")</f>
        <v>operationtracheostomy</v>
      </c>
      <c r="L1275" s="70" t="s">
        <v>4937</v>
      </c>
      <c r="M1275" s="70" t="s">
        <v>4937</v>
      </c>
    </row>
    <row r="1276">
      <c r="A1276" s="70"/>
      <c r="B1276" s="68" t="s">
        <v>4919</v>
      </c>
      <c r="C1276" s="68" t="s">
        <v>4938</v>
      </c>
      <c r="D1276" s="68" t="s">
        <v>43</v>
      </c>
      <c r="E1276" s="70" t="s">
        <v>4939</v>
      </c>
      <c r="F1276" s="71">
        <f t="shared" si="62"/>
        <v>2</v>
      </c>
      <c r="G1276" s="68" t="s">
        <v>4940</v>
      </c>
      <c r="H1276" s="70"/>
      <c r="I1276" s="7" t="str">
        <f>IFERROR(__xludf.DUMMYFUNCTION("regexreplace(lower(C1276), ""_"", """")"),"operationeyesurgery")</f>
        <v>operationeyesurgery</v>
      </c>
      <c r="J1276" s="9" t="b">
        <f t="shared" si="2"/>
        <v>1</v>
      </c>
      <c r="K1276" s="7" t="str">
        <f>IFERROR(__xludf.DUMMYFUNCTION("regexreplace(G1276, ""_"", """")"),"operationeyesurgery")</f>
        <v>operationeyesurgery</v>
      </c>
      <c r="L1276" s="70" t="s">
        <v>4941</v>
      </c>
      <c r="M1276" s="70" t="s">
        <v>4941</v>
      </c>
    </row>
    <row r="1277">
      <c r="A1277" s="70"/>
      <c r="B1277" s="68" t="s">
        <v>4919</v>
      </c>
      <c r="C1277" s="68" t="s">
        <v>4942</v>
      </c>
      <c r="D1277" s="68" t="s">
        <v>4943</v>
      </c>
      <c r="E1277" s="70" t="s">
        <v>4944</v>
      </c>
      <c r="F1277" s="71">
        <f t="shared" si="62"/>
        <v>2</v>
      </c>
      <c r="G1277" s="68" t="s">
        <v>4945</v>
      </c>
      <c r="H1277" s="70"/>
      <c r="I1277" s="7" t="str">
        <f>IFERROR(__xludf.DUMMYFUNCTION("regexreplace(lower(C1277), ""_"", """")"),"operationeyesurgeryreason")</f>
        <v>operationeyesurgeryreason</v>
      </c>
      <c r="J1277" s="9" t="b">
        <f t="shared" si="2"/>
        <v>1</v>
      </c>
      <c r="K1277" s="7" t="str">
        <f>IFERROR(__xludf.DUMMYFUNCTION("regexreplace(G1277, ""_"", """")"),"operationeyesurgeryreason")</f>
        <v>operationeyesurgeryreason</v>
      </c>
      <c r="L1277" s="70" t="s">
        <v>4946</v>
      </c>
      <c r="M1277" s="70" t="s">
        <v>4946</v>
      </c>
    </row>
    <row r="1278">
      <c r="A1278" s="70"/>
      <c r="B1278" s="68" t="s">
        <v>4919</v>
      </c>
      <c r="C1278" s="68" t="s">
        <v>4947</v>
      </c>
      <c r="D1278" s="68" t="s">
        <v>43</v>
      </c>
      <c r="E1278" s="70" t="s">
        <v>4948</v>
      </c>
      <c r="F1278" s="71">
        <f t="shared" si="62"/>
        <v>2</v>
      </c>
      <c r="G1278" s="68" t="s">
        <v>4949</v>
      </c>
      <c r="H1278" s="70"/>
      <c r="I1278" s="7" t="str">
        <f>IFERROR(__xludf.DUMMYFUNCTION("regexreplace(lower(C1278), ""_"", """")"),"operationherniasurgery")</f>
        <v>operationherniasurgery</v>
      </c>
      <c r="J1278" s="9" t="b">
        <f t="shared" si="2"/>
        <v>1</v>
      </c>
      <c r="K1278" s="7" t="str">
        <f>IFERROR(__xludf.DUMMYFUNCTION("regexreplace(G1278, ""_"", """")"),"operationherniasurgery")</f>
        <v>operationherniasurgery</v>
      </c>
      <c r="L1278" s="70" t="s">
        <v>4950</v>
      </c>
      <c r="M1278" s="70" t="s">
        <v>4950</v>
      </c>
    </row>
    <row r="1279">
      <c r="A1279" s="70"/>
      <c r="B1279" s="68" t="s">
        <v>4919</v>
      </c>
      <c r="C1279" s="68" t="s">
        <v>4951</v>
      </c>
      <c r="D1279" s="68" t="s">
        <v>43</v>
      </c>
      <c r="E1279" s="70" t="s">
        <v>4952</v>
      </c>
      <c r="F1279" s="71">
        <f t="shared" si="62"/>
        <v>2</v>
      </c>
      <c r="G1279" s="68" t="s">
        <v>4953</v>
      </c>
      <c r="H1279" s="70"/>
      <c r="I1279" s="7" t="str">
        <f>IFERROR(__xludf.DUMMYFUNCTION("regexreplace(lower(C1279), ""_"", """")"),"operationgastrostomytube")</f>
        <v>operationgastrostomytube</v>
      </c>
      <c r="J1279" s="9" t="b">
        <f t="shared" si="2"/>
        <v>1</v>
      </c>
      <c r="K1279" s="7" t="str">
        <f>IFERROR(__xludf.DUMMYFUNCTION("regexreplace(G1279, ""_"", """")"),"operationgastrostomytube")</f>
        <v>operationgastrostomytube</v>
      </c>
      <c r="L1279" s="70" t="s">
        <v>4954</v>
      </c>
      <c r="M1279" s="70" t="s">
        <v>4954</v>
      </c>
    </row>
    <row r="1280">
      <c r="A1280" s="70"/>
      <c r="B1280" s="68" t="s">
        <v>4919</v>
      </c>
      <c r="C1280" s="68" t="s">
        <v>4955</v>
      </c>
      <c r="D1280" s="68" t="s">
        <v>43</v>
      </c>
      <c r="E1280" s="70" t="s">
        <v>4956</v>
      </c>
      <c r="F1280" s="71">
        <f t="shared" si="62"/>
        <v>2</v>
      </c>
      <c r="G1280" s="68" t="s">
        <v>4957</v>
      </c>
      <c r="H1280" s="70"/>
      <c r="I1280" s="7" t="str">
        <f>IFERROR(__xludf.DUMMYFUNCTION("regexreplace(lower(C1280), ""_"", """")"),"operationfundoplication")</f>
        <v>operationfundoplication</v>
      </c>
      <c r="J1280" s="9" t="b">
        <f t="shared" si="2"/>
        <v>1</v>
      </c>
      <c r="K1280" s="7" t="str">
        <f>IFERROR(__xludf.DUMMYFUNCTION("regexreplace(G1280, ""_"", """")"),"operationfundoplication")</f>
        <v>operationfundoplication</v>
      </c>
      <c r="L1280" s="70" t="s">
        <v>4958</v>
      </c>
      <c r="M1280" s="70" t="s">
        <v>4958</v>
      </c>
    </row>
    <row r="1281">
      <c r="A1281" s="70"/>
      <c r="B1281" s="68" t="s">
        <v>4919</v>
      </c>
      <c r="C1281" s="68" t="s">
        <v>4959</v>
      </c>
      <c r="D1281" s="68" t="s">
        <v>43</v>
      </c>
      <c r="E1281" s="70" t="s">
        <v>4960</v>
      </c>
      <c r="F1281" s="71">
        <f t="shared" si="62"/>
        <v>2</v>
      </c>
      <c r="G1281" s="68" t="s">
        <v>4961</v>
      </c>
      <c r="H1281" s="70"/>
      <c r="I1281" s="7" t="str">
        <f>IFERROR(__xludf.DUMMYFUNCTION("regexreplace(lower(C1281), ""_"", """")"),"operationshuntforhydrocephalus")</f>
        <v>operationshuntforhydrocephalus</v>
      </c>
      <c r="J1281" s="9" t="b">
        <f t="shared" si="2"/>
        <v>1</v>
      </c>
      <c r="K1281" s="7" t="str">
        <f>IFERROR(__xludf.DUMMYFUNCTION("regexreplace(G1281, ""_"", """")"),"operationshuntforhydrocephalus")</f>
        <v>operationshuntforhydrocephalus</v>
      </c>
      <c r="L1281" s="70" t="s">
        <v>4962</v>
      </c>
      <c r="M1281" s="70" t="s">
        <v>4962</v>
      </c>
    </row>
    <row r="1282">
      <c r="A1282" s="70"/>
      <c r="B1282" s="68" t="s">
        <v>4919</v>
      </c>
      <c r="C1282" s="68" t="s">
        <v>4963</v>
      </c>
      <c r="D1282" s="68" t="s">
        <v>43</v>
      </c>
      <c r="E1282" s="70" t="s">
        <v>4964</v>
      </c>
      <c r="F1282" s="71">
        <f t="shared" si="62"/>
        <v>2</v>
      </c>
      <c r="G1282" s="68" t="s">
        <v>4965</v>
      </c>
      <c r="H1282" s="70"/>
      <c r="I1282" s="7" t="str">
        <f>IFERROR(__xludf.DUMMYFUNCTION("regexreplace(lower(C1282), ""_"", """")"),"operationreanastomosisoflargeorsmallintenstine")</f>
        <v>operationreanastomosisoflargeorsmallintenstine</v>
      </c>
      <c r="J1282" s="9" t="b">
        <f t="shared" si="2"/>
        <v>1</v>
      </c>
      <c r="K1282" s="7" t="str">
        <f>IFERROR(__xludf.DUMMYFUNCTION("regexreplace(G1282, ""_"", """")"),"operationreanastomosisoflargeorsmallintenstine")</f>
        <v>operationreanastomosisoflargeorsmallintenstine</v>
      </c>
      <c r="L1282" s="70" t="s">
        <v>4966</v>
      </c>
      <c r="M1282" s="70" t="s">
        <v>4966</v>
      </c>
    </row>
    <row r="1283">
      <c r="A1283" s="70"/>
      <c r="B1283" s="68" t="s">
        <v>4919</v>
      </c>
      <c r="C1283" s="68" t="s">
        <v>4967</v>
      </c>
      <c r="D1283" s="68" t="s">
        <v>43</v>
      </c>
      <c r="E1283" s="70" t="s">
        <v>4968</v>
      </c>
      <c r="F1283" s="71">
        <f t="shared" si="62"/>
        <v>2</v>
      </c>
      <c r="G1283" s="68" t="s">
        <v>4969</v>
      </c>
      <c r="H1283" s="70"/>
      <c r="I1283" s="7" t="str">
        <f>IFERROR(__xludf.DUMMYFUNCTION("regexreplace(lower(C1283), ""_"", """")"),"operationpdaligation")</f>
        <v>operationpdaligation</v>
      </c>
      <c r="J1283" s="9" t="b">
        <f t="shared" si="2"/>
        <v>1</v>
      </c>
      <c r="K1283" s="7" t="str">
        <f>IFERROR(__xludf.DUMMYFUNCTION("regexreplace(G1283, ""_"", """")"),"operationpdaligation")</f>
        <v>operationpdaligation</v>
      </c>
      <c r="L1283" s="70" t="s">
        <v>4970</v>
      </c>
      <c r="M1283" s="70" t="s">
        <v>4970</v>
      </c>
    </row>
    <row r="1284">
      <c r="A1284" s="70"/>
      <c r="B1284" s="68" t="s">
        <v>4919</v>
      </c>
      <c r="C1284" s="68" t="s">
        <v>4971</v>
      </c>
      <c r="D1284" s="68" t="s">
        <v>43</v>
      </c>
      <c r="E1284" s="70" t="s">
        <v>4972</v>
      </c>
      <c r="F1284" s="71">
        <f t="shared" si="62"/>
        <v>2</v>
      </c>
      <c r="G1284" s="68" t="s">
        <v>4973</v>
      </c>
      <c r="H1284" s="70"/>
      <c r="I1284" s="7" t="str">
        <f>IFERROR(__xludf.DUMMYFUNCTION("regexreplace(lower(C1284), ""_"", """")"),"operationbrochoscopy")</f>
        <v>operationbrochoscopy</v>
      </c>
      <c r="J1284" s="9" t="b">
        <f t="shared" si="2"/>
        <v>1</v>
      </c>
      <c r="K1284" s="7" t="str">
        <f>IFERROR(__xludf.DUMMYFUNCTION("regexreplace(G1284, ""_"", """")"),"operationbrochoscopy")</f>
        <v>operationbrochoscopy</v>
      </c>
      <c r="L1284" s="70" t="s">
        <v>4974</v>
      </c>
      <c r="M1284" s="70" t="s">
        <v>4974</v>
      </c>
    </row>
    <row r="1285">
      <c r="A1285" s="70"/>
      <c r="B1285" s="68" t="s">
        <v>4919</v>
      </c>
      <c r="C1285" s="68" t="s">
        <v>4975</v>
      </c>
      <c r="D1285" s="68" t="s">
        <v>43</v>
      </c>
      <c r="E1285" s="70" t="s">
        <v>4976</v>
      </c>
      <c r="F1285" s="71">
        <f t="shared" si="62"/>
        <v>2</v>
      </c>
      <c r="G1285" s="68" t="s">
        <v>4977</v>
      </c>
      <c r="H1285" s="70"/>
      <c r="I1285" s="7" t="str">
        <f>IFERROR(__xludf.DUMMYFUNCTION("regexreplace(lower(C1285), ""_"", """")"),"operationhypospadiusrepair")</f>
        <v>operationhypospadiusrepair</v>
      </c>
      <c r="J1285" s="9" t="b">
        <f t="shared" si="2"/>
        <v>1</v>
      </c>
      <c r="K1285" s="7" t="str">
        <f>IFERROR(__xludf.DUMMYFUNCTION("regexreplace(G1285, ""_"", """")"),"operationhypospadiusrepair")</f>
        <v>operationhypospadiusrepair</v>
      </c>
      <c r="L1285" s="70" t="s">
        <v>4978</v>
      </c>
      <c r="M1285" s="70" t="s">
        <v>4978</v>
      </c>
    </row>
    <row r="1286">
      <c r="A1286" s="70"/>
      <c r="B1286" s="68" t="s">
        <v>4919</v>
      </c>
      <c r="C1286" s="68" t="s">
        <v>4979</v>
      </c>
      <c r="D1286" s="68" t="s">
        <v>43</v>
      </c>
      <c r="E1286" s="70" t="s">
        <v>4477</v>
      </c>
      <c r="F1286" s="71">
        <f t="shared" si="62"/>
        <v>2</v>
      </c>
      <c r="G1286" s="68" t="s">
        <v>4980</v>
      </c>
      <c r="H1286" s="70"/>
      <c r="I1286" s="7" t="str">
        <f>IFERROR(__xludf.DUMMYFUNCTION("regexreplace(lower(C1286), ""_"", """")"),"operationother")</f>
        <v>operationother</v>
      </c>
      <c r="J1286" s="9" t="b">
        <f t="shared" si="2"/>
        <v>1</v>
      </c>
      <c r="K1286" s="7" t="str">
        <f>IFERROR(__xludf.DUMMYFUNCTION("regexreplace(G1286, ""_"", """")"),"operationother")</f>
        <v>operationother</v>
      </c>
      <c r="L1286" s="70" t="s">
        <v>4981</v>
      </c>
      <c r="M1286" s="70" t="s">
        <v>4981</v>
      </c>
    </row>
    <row r="1287">
      <c r="A1287" s="70"/>
      <c r="B1287" s="68" t="s">
        <v>4919</v>
      </c>
      <c r="C1287" s="68" t="s">
        <v>4982</v>
      </c>
      <c r="D1287" s="68" t="s">
        <v>19</v>
      </c>
      <c r="E1287" s="70" t="s">
        <v>3257</v>
      </c>
      <c r="F1287" s="71">
        <f t="shared" si="62"/>
        <v>2</v>
      </c>
      <c r="G1287" s="68" t="s">
        <v>4983</v>
      </c>
      <c r="H1287" s="70"/>
      <c r="I1287" s="7" t="str">
        <f>IFERROR(__xludf.DUMMYFUNCTION("regexreplace(lower(C1287), ""_"", """")"),"operationothertext")</f>
        <v>operationothertext</v>
      </c>
      <c r="J1287" s="9" t="b">
        <f t="shared" si="2"/>
        <v>1</v>
      </c>
      <c r="K1287" s="7" t="str">
        <f>IFERROR(__xludf.DUMMYFUNCTION("regexreplace(G1287, ""_"", """")"),"operationothertext")</f>
        <v>operationothertext</v>
      </c>
      <c r="L1287" s="70" t="s">
        <v>4984</v>
      </c>
      <c r="M1287" s="70" t="s">
        <v>4984</v>
      </c>
    </row>
    <row r="1288">
      <c r="A1288" s="70"/>
      <c r="B1288" s="68" t="s">
        <v>4919</v>
      </c>
      <c r="C1288" s="68" t="s">
        <v>4985</v>
      </c>
      <c r="D1288" s="68" t="s">
        <v>43</v>
      </c>
      <c r="E1288" s="70" t="s">
        <v>4986</v>
      </c>
      <c r="F1288" s="71">
        <f t="shared" si="62"/>
        <v>2</v>
      </c>
      <c r="G1288" s="68" t="s">
        <v>4985</v>
      </c>
      <c r="H1288" s="70"/>
      <c r="I1288" s="7" t="str">
        <f>IFERROR(__xludf.DUMMYFUNCTION("regexreplace(lower(C1288), ""_"", """")"),"medication")</f>
        <v>medication</v>
      </c>
      <c r="J1288" s="9" t="b">
        <f t="shared" si="2"/>
        <v>1</v>
      </c>
      <c r="K1288" s="7" t="str">
        <f>IFERROR(__xludf.DUMMYFUNCTION("regexreplace(G1288, ""_"", """")"),"medication")</f>
        <v>medication</v>
      </c>
      <c r="L1288" s="70" t="s">
        <v>4987</v>
      </c>
      <c r="M1288" s="70" t="s">
        <v>4987</v>
      </c>
    </row>
    <row r="1289">
      <c r="A1289" s="70"/>
      <c r="B1289" s="68" t="s">
        <v>4919</v>
      </c>
      <c r="C1289" s="68" t="s">
        <v>4988</v>
      </c>
      <c r="D1289" s="68" t="s">
        <v>4989</v>
      </c>
      <c r="E1289" s="70" t="s">
        <v>4990</v>
      </c>
      <c r="F1289" s="71">
        <f t="shared" si="62"/>
        <v>2</v>
      </c>
      <c r="G1289" s="68" t="s">
        <v>4991</v>
      </c>
      <c r="H1289" s="70"/>
      <c r="I1289" s="7" t="str">
        <f>IFERROR(__xludf.DUMMYFUNCTION("regexreplace(lower(C1289), ""_"", """")"),"vitaminmineralsupplement")</f>
        <v>vitaminmineralsupplement</v>
      </c>
      <c r="J1289" s="9" t="b">
        <f t="shared" si="2"/>
        <v>1</v>
      </c>
      <c r="K1289" s="7" t="str">
        <f>IFERROR(__xludf.DUMMYFUNCTION("regexreplace(G1289, ""_"", """")"),"vitaminmineralsupplement")</f>
        <v>vitaminmineralsupplement</v>
      </c>
      <c r="L1289" s="70" t="s">
        <v>4992</v>
      </c>
      <c r="M1289" s="70" t="s">
        <v>4992</v>
      </c>
    </row>
    <row r="1290">
      <c r="A1290" s="70"/>
      <c r="B1290" s="68" t="s">
        <v>4919</v>
      </c>
      <c r="C1290" s="68" t="s">
        <v>4993</v>
      </c>
      <c r="D1290" s="68" t="s">
        <v>4989</v>
      </c>
      <c r="E1290" s="70" t="s">
        <v>4994</v>
      </c>
      <c r="F1290" s="71">
        <f t="shared" si="62"/>
        <v>2</v>
      </c>
      <c r="G1290" s="68" t="s">
        <v>4995</v>
      </c>
      <c r="H1290" s="70"/>
      <c r="I1290" s="7" t="str">
        <f>IFERROR(__xludf.DUMMYFUNCTION("regexreplace(lower(C1290), ""_"", """")"),"highcaloricformula")</f>
        <v>highcaloricformula</v>
      </c>
      <c r="J1290" s="9" t="b">
        <f t="shared" si="2"/>
        <v>1</v>
      </c>
      <c r="K1290" s="7" t="str">
        <f>IFERROR(__xludf.DUMMYFUNCTION("regexreplace(G1290, ""_"", """")"),"highcaloricformula")</f>
        <v>highcaloricformula</v>
      </c>
      <c r="L1290" s="70" t="s">
        <v>4996</v>
      </c>
      <c r="M1290" s="70" t="s">
        <v>4996</v>
      </c>
    </row>
    <row r="1291">
      <c r="A1291" s="70"/>
      <c r="B1291" s="68" t="s">
        <v>4919</v>
      </c>
      <c r="C1291" s="68" t="s">
        <v>4997</v>
      </c>
      <c r="D1291" s="68" t="s">
        <v>4989</v>
      </c>
      <c r="E1291" s="70" t="s">
        <v>4998</v>
      </c>
      <c r="F1291" s="71">
        <f t="shared" si="62"/>
        <v>2</v>
      </c>
      <c r="G1291" s="68" t="s">
        <v>4997</v>
      </c>
      <c r="H1291" s="70"/>
      <c r="I1291" s="7" t="str">
        <f>IFERROR(__xludf.DUMMYFUNCTION("regexreplace(lower(C1291), ""_"", """")"),"diuretics")</f>
        <v>diuretics</v>
      </c>
      <c r="J1291" s="9" t="b">
        <f t="shared" si="2"/>
        <v>1</v>
      </c>
      <c r="K1291" s="7" t="str">
        <f>IFERROR(__xludf.DUMMYFUNCTION("regexreplace(G1291, ""_"", """")"),"diuretics")</f>
        <v>diuretics</v>
      </c>
      <c r="L1291" s="70" t="s">
        <v>4999</v>
      </c>
      <c r="M1291" s="70" t="s">
        <v>4999</v>
      </c>
    </row>
    <row r="1292">
      <c r="A1292" s="70"/>
      <c r="B1292" s="68" t="s">
        <v>4919</v>
      </c>
      <c r="C1292" s="68" t="s">
        <v>5000</v>
      </c>
      <c r="D1292" s="68" t="s">
        <v>4989</v>
      </c>
      <c r="E1292" s="70" t="s">
        <v>5001</v>
      </c>
      <c r="F1292" s="71">
        <f t="shared" si="62"/>
        <v>2</v>
      </c>
      <c r="G1292" s="68" t="s">
        <v>5002</v>
      </c>
      <c r="H1292" s="70"/>
      <c r="I1292" s="7" t="str">
        <f>IFERROR(__xludf.DUMMYFUNCTION("regexreplace(lower(C1292), ""_"", """")"),"antirefluxmedication")</f>
        <v>antirefluxmedication</v>
      </c>
      <c r="J1292" s="9" t="b">
        <f t="shared" si="2"/>
        <v>1</v>
      </c>
      <c r="K1292" s="7" t="str">
        <f>IFERROR(__xludf.DUMMYFUNCTION("regexreplace(G1292, ""_"", """")"),"antirefluxmedication")</f>
        <v>antirefluxmedication</v>
      </c>
      <c r="L1292" s="70" t="s">
        <v>5003</v>
      </c>
      <c r="M1292" s="70" t="s">
        <v>5003</v>
      </c>
    </row>
    <row r="1293">
      <c r="A1293" s="70"/>
      <c r="B1293" s="68" t="s">
        <v>4919</v>
      </c>
      <c r="C1293" s="68" t="s">
        <v>5004</v>
      </c>
      <c r="D1293" s="68" t="s">
        <v>4989</v>
      </c>
      <c r="E1293" s="70" t="s">
        <v>5005</v>
      </c>
      <c r="F1293" s="71">
        <f t="shared" si="62"/>
        <v>2</v>
      </c>
      <c r="G1293" s="68" t="s">
        <v>5004</v>
      </c>
      <c r="H1293" s="70"/>
      <c r="I1293" s="7" t="str">
        <f>IFERROR(__xludf.DUMMYFUNCTION("regexreplace(lower(C1293), ""_"", """")"),"bronchodilator")</f>
        <v>bronchodilator</v>
      </c>
      <c r="J1293" s="9" t="b">
        <f t="shared" si="2"/>
        <v>1</v>
      </c>
      <c r="K1293" s="7" t="str">
        <f>IFERROR(__xludf.DUMMYFUNCTION("regexreplace(G1293, ""_"", """")"),"bronchodilator")</f>
        <v>bronchodilator</v>
      </c>
      <c r="L1293" s="70" t="s">
        <v>5006</v>
      </c>
      <c r="M1293" s="70" t="s">
        <v>5006</v>
      </c>
    </row>
    <row r="1294">
      <c r="A1294" s="70"/>
      <c r="B1294" s="68" t="s">
        <v>4919</v>
      </c>
      <c r="C1294" s="68" t="s">
        <v>5007</v>
      </c>
      <c r="D1294" s="68" t="s">
        <v>4989</v>
      </c>
      <c r="E1294" s="70" t="s">
        <v>5008</v>
      </c>
      <c r="F1294" s="71">
        <f t="shared" si="62"/>
        <v>2</v>
      </c>
      <c r="G1294" s="68" t="s">
        <v>5009</v>
      </c>
      <c r="H1294" s="70"/>
      <c r="I1294" s="7" t="str">
        <f>IFERROR(__xludf.DUMMYFUNCTION("regexreplace(lower(C1294), ""_"", """")"),"inhaledsteroid")</f>
        <v>inhaledsteroid</v>
      </c>
      <c r="J1294" s="9" t="b">
        <f t="shared" si="2"/>
        <v>1</v>
      </c>
      <c r="K1294" s="7" t="str">
        <f>IFERROR(__xludf.DUMMYFUNCTION("regexreplace(G1294, ""_"", """")"),"inhaledsteroid")</f>
        <v>inhaledsteroid</v>
      </c>
      <c r="L1294" s="70" t="s">
        <v>5010</v>
      </c>
      <c r="M1294" s="70" t="s">
        <v>5010</v>
      </c>
    </row>
    <row r="1295">
      <c r="A1295" s="70"/>
      <c r="B1295" s="68" t="s">
        <v>4919</v>
      </c>
      <c r="C1295" s="68" t="s">
        <v>5011</v>
      </c>
      <c r="D1295" s="68" t="s">
        <v>4989</v>
      </c>
      <c r="E1295" s="70" t="s">
        <v>5012</v>
      </c>
      <c r="F1295" s="71">
        <f t="shared" si="62"/>
        <v>2</v>
      </c>
      <c r="G1295" s="68" t="s">
        <v>5013</v>
      </c>
      <c r="H1295" s="70"/>
      <c r="I1295" s="7" t="str">
        <f>IFERROR(__xludf.DUMMYFUNCTION("regexreplace(lower(C1295), ""_"", """")"),"oralivsteroid")</f>
        <v>oralivsteroid</v>
      </c>
      <c r="J1295" s="9" t="b">
        <f t="shared" si="2"/>
        <v>1</v>
      </c>
      <c r="K1295" s="7" t="str">
        <f>IFERROR(__xludf.DUMMYFUNCTION("regexreplace(G1295, ""_"", """")"),"oralivsteroid")</f>
        <v>oralivsteroid</v>
      </c>
      <c r="L1295" s="70" t="s">
        <v>5014</v>
      </c>
      <c r="M1295" s="70" t="s">
        <v>5014</v>
      </c>
    </row>
    <row r="1296">
      <c r="A1296" s="70"/>
      <c r="B1296" s="68" t="s">
        <v>4919</v>
      </c>
      <c r="C1296" s="68" t="s">
        <v>5015</v>
      </c>
      <c r="D1296" s="68" t="s">
        <v>4989</v>
      </c>
      <c r="E1296" s="70" t="s">
        <v>5016</v>
      </c>
      <c r="F1296" s="71">
        <f t="shared" si="62"/>
        <v>2</v>
      </c>
      <c r="G1296" s="68" t="s">
        <v>5017</v>
      </c>
      <c r="H1296" s="70"/>
      <c r="I1296" s="7" t="str">
        <f>IFERROR(__xludf.DUMMYFUNCTION("regexreplace(lower(C1296), ""_"", """")"),"otherasthmamedication")</f>
        <v>otherasthmamedication</v>
      </c>
      <c r="J1296" s="9" t="b">
        <f t="shared" si="2"/>
        <v>1</v>
      </c>
      <c r="K1296" s="7" t="str">
        <f>IFERROR(__xludf.DUMMYFUNCTION("regexreplace(G1296, ""_"", """")"),"otherasthmamedication")</f>
        <v>otherasthmamedication</v>
      </c>
      <c r="L1296" s="70" t="s">
        <v>5018</v>
      </c>
      <c r="M1296" s="70" t="s">
        <v>5018</v>
      </c>
    </row>
    <row r="1297">
      <c r="A1297" s="70"/>
      <c r="B1297" s="68" t="s">
        <v>4919</v>
      </c>
      <c r="C1297" s="68" t="s">
        <v>5019</v>
      </c>
      <c r="D1297" s="68" t="s">
        <v>4989</v>
      </c>
      <c r="E1297" s="70" t="s">
        <v>5020</v>
      </c>
      <c r="F1297" s="71">
        <f t="shared" si="62"/>
        <v>2</v>
      </c>
      <c r="G1297" s="68" t="s">
        <v>5021</v>
      </c>
      <c r="H1297" s="70"/>
      <c r="I1297" s="7" t="str">
        <f>IFERROR(__xludf.DUMMYFUNCTION("regexreplace(lower(C1297), ""_"", """")"),"decongestantcoldallergymedication")</f>
        <v>decongestantcoldallergymedication</v>
      </c>
      <c r="J1297" s="9" t="b">
        <f t="shared" si="2"/>
        <v>1</v>
      </c>
      <c r="K1297" s="7" t="str">
        <f>IFERROR(__xludf.DUMMYFUNCTION("regexreplace(G1297, ""_"", """")"),"decongestantcoldallergymedication")</f>
        <v>decongestantcoldallergymedication</v>
      </c>
      <c r="L1297" s="70" t="s">
        <v>5022</v>
      </c>
      <c r="M1297" s="70" t="s">
        <v>5022</v>
      </c>
    </row>
    <row r="1298">
      <c r="A1298" s="70"/>
      <c r="B1298" s="68" t="s">
        <v>4919</v>
      </c>
      <c r="C1298" s="68" t="s">
        <v>5023</v>
      </c>
      <c r="D1298" s="68" t="s">
        <v>4989</v>
      </c>
      <c r="E1298" s="70" t="s">
        <v>1046</v>
      </c>
      <c r="F1298" s="71">
        <f t="shared" si="62"/>
        <v>2</v>
      </c>
      <c r="G1298" s="68" t="s">
        <v>5024</v>
      </c>
      <c r="H1298" s="70"/>
      <c r="I1298" s="7" t="str">
        <f>IFERROR(__xludf.DUMMYFUNCTION("regexreplace(lower(C1298), ""_"", """")"),"anticonvulsantmedication")</f>
        <v>anticonvulsantmedication</v>
      </c>
      <c r="J1298" s="9" t="b">
        <f t="shared" si="2"/>
        <v>1</v>
      </c>
      <c r="K1298" s="7" t="str">
        <f>IFERROR(__xludf.DUMMYFUNCTION("regexreplace(G1298, ""_"", """")"),"anticonvulsantmedication")</f>
        <v>anticonvulsantmedication</v>
      </c>
      <c r="L1298" s="70" t="s">
        <v>5025</v>
      </c>
      <c r="M1298" s="70" t="s">
        <v>5025</v>
      </c>
    </row>
    <row r="1299">
      <c r="A1299" s="70"/>
      <c r="B1299" s="68" t="s">
        <v>4919</v>
      </c>
      <c r="C1299" s="68" t="s">
        <v>5026</v>
      </c>
      <c r="D1299" s="68" t="s">
        <v>4989</v>
      </c>
      <c r="E1299" s="70" t="s">
        <v>5027</v>
      </c>
      <c r="F1299" s="71">
        <f t="shared" si="62"/>
        <v>2</v>
      </c>
      <c r="G1299" s="68" t="s">
        <v>5028</v>
      </c>
      <c r="H1299" s="70"/>
      <c r="I1299" s="7" t="str">
        <f>IFERROR(__xludf.DUMMYFUNCTION("regexreplace(lower(C1299), ""_"", """")"),"prophylaticantibiotics")</f>
        <v>prophylaticantibiotics</v>
      </c>
      <c r="J1299" s="9" t="b">
        <f t="shared" si="2"/>
        <v>1</v>
      </c>
      <c r="K1299" s="7" t="str">
        <f>IFERROR(__xludf.DUMMYFUNCTION("regexreplace(G1299, ""_"", """")"),"prophylaticantibiotics")</f>
        <v>prophylaticantibiotics</v>
      </c>
      <c r="L1299" s="70" t="s">
        <v>5029</v>
      </c>
      <c r="M1299" s="70" t="s">
        <v>5029</v>
      </c>
    </row>
    <row r="1300">
      <c r="A1300" s="70"/>
      <c r="B1300" s="68" t="s">
        <v>4919</v>
      </c>
      <c r="C1300" s="68" t="s">
        <v>456</v>
      </c>
      <c r="D1300" s="68" t="s">
        <v>4989</v>
      </c>
      <c r="E1300" s="70" t="s">
        <v>5030</v>
      </c>
      <c r="F1300" s="71">
        <f t="shared" si="62"/>
        <v>2</v>
      </c>
      <c r="G1300" s="68" t="s">
        <v>456</v>
      </c>
      <c r="H1300" s="70"/>
      <c r="I1300" s="7" t="str">
        <f>IFERROR(__xludf.DUMMYFUNCTION("regexreplace(lower(C1300), ""_"", """")"),"antibiotics")</f>
        <v>antibiotics</v>
      </c>
      <c r="J1300" s="9" t="b">
        <f t="shared" si="2"/>
        <v>1</v>
      </c>
      <c r="K1300" s="7" t="str">
        <f>IFERROR(__xludf.DUMMYFUNCTION("regexreplace(G1300, ""_"", """")"),"antibiotics")</f>
        <v>antibiotics</v>
      </c>
      <c r="L1300" s="70" t="s">
        <v>5031</v>
      </c>
      <c r="M1300" s="72" t="s">
        <v>5031</v>
      </c>
    </row>
    <row r="1301">
      <c r="A1301" s="70"/>
      <c r="B1301" s="68" t="s">
        <v>4919</v>
      </c>
      <c r="C1301" s="68" t="s">
        <v>5032</v>
      </c>
      <c r="D1301" s="68" t="s">
        <v>4989</v>
      </c>
      <c r="E1301" s="70" t="s">
        <v>5033</v>
      </c>
      <c r="F1301" s="71">
        <f t="shared" si="62"/>
        <v>2</v>
      </c>
      <c r="G1301" s="68" t="s">
        <v>5034</v>
      </c>
      <c r="H1301" s="70"/>
      <c r="I1301" s="7" t="str">
        <f>IFERROR(__xludf.DUMMYFUNCTION("regexreplace(lower(C1301), ""_"", """")"),"constipationmedication")</f>
        <v>constipationmedication</v>
      </c>
      <c r="J1301" s="9" t="b">
        <f t="shared" si="2"/>
        <v>1</v>
      </c>
      <c r="K1301" s="7" t="str">
        <f>IFERROR(__xludf.DUMMYFUNCTION("regexreplace(G1301, ""_"", """")"),"constipationmedication")</f>
        <v>constipationmedication</v>
      </c>
      <c r="L1301" s="70" t="s">
        <v>5035</v>
      </c>
      <c r="M1301" s="70" t="s">
        <v>5035</v>
      </c>
    </row>
    <row r="1302">
      <c r="A1302" s="70"/>
      <c r="B1302" s="68" t="s">
        <v>4919</v>
      </c>
      <c r="C1302" s="68" t="s">
        <v>5036</v>
      </c>
      <c r="D1302" s="68" t="s">
        <v>4989</v>
      </c>
      <c r="E1302" s="70" t="s">
        <v>5037</v>
      </c>
      <c r="F1302" s="71">
        <f t="shared" si="62"/>
        <v>2</v>
      </c>
      <c r="G1302" s="68" t="s">
        <v>5038</v>
      </c>
      <c r="H1302" s="70"/>
      <c r="I1302" s="7" t="str">
        <f>IFERROR(__xludf.DUMMYFUNCTION("regexreplace(lower(C1302), ""_"", """")"),"bloodpressuremedication")</f>
        <v>bloodpressuremedication</v>
      </c>
      <c r="J1302" s="9" t="b">
        <f t="shared" si="2"/>
        <v>1</v>
      </c>
      <c r="K1302" s="7" t="str">
        <f>IFERROR(__xludf.DUMMYFUNCTION("regexreplace(G1302, ""_"", """")"),"bloodpressuremedication")</f>
        <v>bloodpressuremedication</v>
      </c>
      <c r="L1302" s="70" t="s">
        <v>5039</v>
      </c>
      <c r="M1302" s="70" t="s">
        <v>5039</v>
      </c>
    </row>
    <row r="1303">
      <c r="A1303" s="70"/>
      <c r="B1303" s="68" t="s">
        <v>4919</v>
      </c>
      <c r="C1303" s="68" t="s">
        <v>5040</v>
      </c>
      <c r="D1303" s="68" t="s">
        <v>4989</v>
      </c>
      <c r="E1303" s="70" t="s">
        <v>5041</v>
      </c>
      <c r="F1303" s="71">
        <f t="shared" si="62"/>
        <v>2</v>
      </c>
      <c r="G1303" s="68" t="s">
        <v>5042</v>
      </c>
      <c r="H1303" s="70"/>
      <c r="I1303" s="7" t="str">
        <f>IFERROR(__xludf.DUMMYFUNCTION("regexreplace(lower(C1303), ""_"", """")"),"thyroidmedication")</f>
        <v>thyroidmedication</v>
      </c>
      <c r="J1303" s="9" t="b">
        <f t="shared" si="2"/>
        <v>1</v>
      </c>
      <c r="K1303" s="7" t="str">
        <f>IFERROR(__xludf.DUMMYFUNCTION("regexreplace(G1303, ""_"", """")"),"thyroidmedication")</f>
        <v>thyroidmedication</v>
      </c>
      <c r="L1303" s="70" t="s">
        <v>5043</v>
      </c>
      <c r="M1303" s="70" t="s">
        <v>5043</v>
      </c>
    </row>
    <row r="1304">
      <c r="A1304" s="70"/>
      <c r="B1304" s="68" t="s">
        <v>4919</v>
      </c>
      <c r="C1304" s="68" t="s">
        <v>5044</v>
      </c>
      <c r="D1304" s="68" t="s">
        <v>4989</v>
      </c>
      <c r="E1304" s="70" t="s">
        <v>5045</v>
      </c>
      <c r="F1304" s="71">
        <f t="shared" si="62"/>
        <v>2</v>
      </c>
      <c r="G1304" s="68" t="s">
        <v>5046</v>
      </c>
      <c r="H1304" s="70"/>
      <c r="I1304" s="7" t="str">
        <f>IFERROR(__xludf.DUMMYFUNCTION("regexreplace(lower(C1304), ""_"", """")"),"musclerelaxants")</f>
        <v>musclerelaxants</v>
      </c>
      <c r="J1304" s="9" t="b">
        <f t="shared" si="2"/>
        <v>1</v>
      </c>
      <c r="K1304" s="7" t="str">
        <f>IFERROR(__xludf.DUMMYFUNCTION("regexreplace(G1304, ""_"", """")"),"musclerelaxants")</f>
        <v>musclerelaxants</v>
      </c>
      <c r="L1304" s="70" t="s">
        <v>5047</v>
      </c>
      <c r="M1304" s="70" t="s">
        <v>5047</v>
      </c>
    </row>
    <row r="1305">
      <c r="A1305" s="70"/>
      <c r="B1305" s="68" t="s">
        <v>4919</v>
      </c>
      <c r="C1305" s="68" t="s">
        <v>5048</v>
      </c>
      <c r="D1305" s="68" t="s">
        <v>4989</v>
      </c>
      <c r="E1305" s="70" t="s">
        <v>5049</v>
      </c>
      <c r="F1305" s="71">
        <f t="shared" si="62"/>
        <v>2</v>
      </c>
      <c r="G1305" s="68" t="s">
        <v>5048</v>
      </c>
      <c r="H1305" s="70"/>
      <c r="I1305" s="7" t="str">
        <f>IFERROR(__xludf.DUMMYFUNCTION("regexreplace(lower(C1305), ""_"", """")"),"botox")</f>
        <v>botox</v>
      </c>
      <c r="J1305" s="9" t="b">
        <f t="shared" si="2"/>
        <v>1</v>
      </c>
      <c r="K1305" s="7" t="str">
        <f>IFERROR(__xludf.DUMMYFUNCTION("regexreplace(G1305, ""_"", """")"),"botox")</f>
        <v>botox</v>
      </c>
      <c r="L1305" s="70" t="s">
        <v>5050</v>
      </c>
      <c r="M1305" s="70" t="s">
        <v>5050</v>
      </c>
    </row>
    <row r="1306">
      <c r="A1306" s="70"/>
      <c r="B1306" s="68" t="s">
        <v>4919</v>
      </c>
      <c r="C1306" s="68" t="s">
        <v>5051</v>
      </c>
      <c r="D1306" s="68" t="s">
        <v>4989</v>
      </c>
      <c r="E1306" s="70" t="s">
        <v>5052</v>
      </c>
      <c r="F1306" s="71">
        <f t="shared" si="62"/>
        <v>2</v>
      </c>
      <c r="G1306" s="68" t="s">
        <v>5053</v>
      </c>
      <c r="H1306" s="70"/>
      <c r="I1306" s="7" t="str">
        <f>IFERROR(__xludf.DUMMYFUNCTION("regexreplace(lower(C1306), ""_"", """")"),"othermedication")</f>
        <v>othermedication</v>
      </c>
      <c r="J1306" s="9" t="b">
        <f t="shared" si="2"/>
        <v>1</v>
      </c>
      <c r="K1306" s="7" t="str">
        <f>IFERROR(__xludf.DUMMYFUNCTION("regexreplace(G1306, ""_"", """")"),"othermedication")</f>
        <v>othermedication</v>
      </c>
      <c r="L1306" s="70" t="s">
        <v>5054</v>
      </c>
      <c r="M1306" s="70" t="s">
        <v>5054</v>
      </c>
    </row>
    <row r="1307">
      <c r="A1307" s="70"/>
      <c r="B1307" s="68" t="s">
        <v>4919</v>
      </c>
      <c r="C1307" s="68" t="s">
        <v>5055</v>
      </c>
      <c r="D1307" s="68" t="s">
        <v>19</v>
      </c>
      <c r="E1307" s="70" t="s">
        <v>5056</v>
      </c>
      <c r="F1307" s="71">
        <f t="shared" si="62"/>
        <v>2</v>
      </c>
      <c r="G1307" s="68" t="s">
        <v>5057</v>
      </c>
      <c r="H1307" s="70"/>
      <c r="I1307" s="7" t="str">
        <f>IFERROR(__xludf.DUMMYFUNCTION("regexreplace(lower(C1307), ""_"", """")"),"othermedicationtext")</f>
        <v>othermedicationtext</v>
      </c>
      <c r="J1307" s="9" t="b">
        <f t="shared" si="2"/>
        <v>1</v>
      </c>
      <c r="K1307" s="7" t="str">
        <f>IFERROR(__xludf.DUMMYFUNCTION("regexreplace(G1307, ""_"", """")"),"othermedicationtext")</f>
        <v>othermedicationtext</v>
      </c>
      <c r="L1307" s="70" t="s">
        <v>5058</v>
      </c>
      <c r="M1307" s="70" t="s">
        <v>5058</v>
      </c>
    </row>
    <row r="1308">
      <c r="A1308" s="70"/>
      <c r="B1308" s="68" t="s">
        <v>4919</v>
      </c>
      <c r="C1308" s="68" t="s">
        <v>5059</v>
      </c>
      <c r="D1308" s="68" t="s">
        <v>43</v>
      </c>
      <c r="E1308" s="70" t="s">
        <v>5060</v>
      </c>
      <c r="F1308" s="71">
        <f t="shared" si="62"/>
        <v>2</v>
      </c>
      <c r="G1308" s="68" t="s">
        <v>5059</v>
      </c>
      <c r="H1308" s="70"/>
      <c r="I1308" s="7" t="str">
        <f>IFERROR(__xludf.DUMMYFUNCTION("regexreplace(lower(C1308), ""_"", """")"),"seizure")</f>
        <v>seizure</v>
      </c>
      <c r="J1308" s="9" t="b">
        <f t="shared" si="2"/>
        <v>1</v>
      </c>
      <c r="K1308" s="7" t="str">
        <f>IFERROR(__xludf.DUMMYFUNCTION("regexreplace(G1308, ""_"", """")"),"seizure")</f>
        <v>seizure</v>
      </c>
      <c r="L1308" s="70" t="s">
        <v>5061</v>
      </c>
      <c r="M1308" s="70" t="s">
        <v>5061</v>
      </c>
    </row>
    <row r="1309">
      <c r="A1309" s="70"/>
      <c r="B1309" s="68" t="s">
        <v>4919</v>
      </c>
      <c r="C1309" s="68" t="s">
        <v>5062</v>
      </c>
      <c r="D1309" s="68" t="s">
        <v>43</v>
      </c>
      <c r="E1309" s="70" t="s">
        <v>5063</v>
      </c>
      <c r="F1309" s="71">
        <f t="shared" si="62"/>
        <v>2</v>
      </c>
      <c r="G1309" s="68" t="s">
        <v>5064</v>
      </c>
      <c r="H1309" s="70"/>
      <c r="I1309" s="7" t="str">
        <f>IFERROR(__xludf.DUMMYFUNCTION("regexreplace(lower(C1309), ""_"", """")"),"medicalequipmenthomeuse")</f>
        <v>medicalequipmenthomeuse</v>
      </c>
      <c r="J1309" s="9" t="b">
        <f t="shared" si="2"/>
        <v>1</v>
      </c>
      <c r="K1309" s="7" t="str">
        <f>IFERROR(__xludf.DUMMYFUNCTION("regexreplace(G1309, ""_"", """")"),"medicalequipmenthomeuse")</f>
        <v>medicalequipmenthomeuse</v>
      </c>
      <c r="L1309" s="70" t="s">
        <v>5065</v>
      </c>
      <c r="M1309" s="70" t="s">
        <v>5065</v>
      </c>
    </row>
    <row r="1310">
      <c r="A1310" s="70"/>
      <c r="B1310" s="68" t="s">
        <v>4919</v>
      </c>
      <c r="C1310" s="68" t="s">
        <v>5066</v>
      </c>
      <c r="D1310" s="68" t="s">
        <v>4989</v>
      </c>
      <c r="E1310" s="70" t="s">
        <v>5067</v>
      </c>
      <c r="F1310" s="71">
        <f t="shared" si="62"/>
        <v>2</v>
      </c>
      <c r="G1310" s="68" t="s">
        <v>5068</v>
      </c>
      <c r="H1310" s="70"/>
      <c r="I1310" s="7" t="str">
        <f>IFERROR(__xludf.DUMMYFUNCTION("regexreplace(lower(C1310), ""_"", """")"),"apneamonitor")</f>
        <v>apneamonitor</v>
      </c>
      <c r="J1310" s="9" t="b">
        <f t="shared" si="2"/>
        <v>1</v>
      </c>
      <c r="K1310" s="7" t="str">
        <f>IFERROR(__xludf.DUMMYFUNCTION("regexreplace(G1310, ""_"", """")"),"apneamonitor")</f>
        <v>apneamonitor</v>
      </c>
      <c r="L1310" s="70" t="s">
        <v>5069</v>
      </c>
      <c r="M1310" s="70" t="s">
        <v>5069</v>
      </c>
    </row>
    <row r="1311">
      <c r="A1311" s="70"/>
      <c r="B1311" s="68" t="s">
        <v>4919</v>
      </c>
      <c r="C1311" s="68" t="s">
        <v>5070</v>
      </c>
      <c r="D1311" s="68" t="s">
        <v>4989</v>
      </c>
      <c r="E1311" s="70" t="s">
        <v>5070</v>
      </c>
      <c r="F1311" s="71">
        <f t="shared" si="62"/>
        <v>2</v>
      </c>
      <c r="G1311" s="68" t="s">
        <v>5070</v>
      </c>
      <c r="H1311" s="70"/>
      <c r="I1311" s="7" t="str">
        <f>IFERROR(__xludf.DUMMYFUNCTION("regexreplace(lower(C1311), ""_"", """")"),"oxygen")</f>
        <v>oxygen</v>
      </c>
      <c r="J1311" s="9" t="b">
        <f t="shared" si="2"/>
        <v>1</v>
      </c>
      <c r="K1311" s="7" t="str">
        <f>IFERROR(__xludf.DUMMYFUNCTION("regexreplace(G1311, ""_"", """")"),"oxygen")</f>
        <v>oxygen</v>
      </c>
      <c r="L1311" s="70" t="s">
        <v>5071</v>
      </c>
      <c r="M1311" s="70" t="s">
        <v>5071</v>
      </c>
    </row>
    <row r="1312">
      <c r="A1312" s="70"/>
      <c r="B1312" s="68" t="s">
        <v>4919</v>
      </c>
      <c r="C1312" s="68" t="s">
        <v>5072</v>
      </c>
      <c r="D1312" s="68" t="s">
        <v>4989</v>
      </c>
      <c r="E1312" s="70" t="s">
        <v>5073</v>
      </c>
      <c r="F1312" s="71">
        <f t="shared" si="62"/>
        <v>2</v>
      </c>
      <c r="G1312" s="68" t="s">
        <v>5074</v>
      </c>
      <c r="H1312" s="70"/>
      <c r="I1312" s="7" t="str">
        <f>IFERROR(__xludf.DUMMYFUNCTION("regexreplace(lower(C1312), ""_"", """")"),"ventilatorcpap")</f>
        <v>ventilatorcpap</v>
      </c>
      <c r="J1312" s="9" t="b">
        <f t="shared" si="2"/>
        <v>1</v>
      </c>
      <c r="K1312" s="7" t="str">
        <f>IFERROR(__xludf.DUMMYFUNCTION("regexreplace(G1312, ""_"", """")"),"ventilatorcpap")</f>
        <v>ventilatorcpap</v>
      </c>
      <c r="L1312" s="70" t="s">
        <v>5075</v>
      </c>
      <c r="M1312" s="70" t="s">
        <v>5075</v>
      </c>
    </row>
    <row r="1313">
      <c r="A1313" s="70"/>
      <c r="B1313" s="68" t="s">
        <v>4919</v>
      </c>
      <c r="C1313" s="68" t="s">
        <v>5076</v>
      </c>
      <c r="D1313" s="68" t="s">
        <v>4989</v>
      </c>
      <c r="E1313" s="70" t="s">
        <v>5077</v>
      </c>
      <c r="F1313" s="71">
        <f t="shared" si="62"/>
        <v>2</v>
      </c>
      <c r="G1313" s="68" t="s">
        <v>5078</v>
      </c>
      <c r="H1313" s="70"/>
      <c r="I1313" s="7" t="str">
        <f>IFERROR(__xludf.DUMMYFUNCTION("regexreplace(lower(C1313), ""_"", """")"),"gastrostomytube")</f>
        <v>gastrostomytube</v>
      </c>
      <c r="J1313" s="9" t="b">
        <f t="shared" si="2"/>
        <v>1</v>
      </c>
      <c r="K1313" s="7" t="str">
        <f>IFERROR(__xludf.DUMMYFUNCTION("regexreplace(G1313, ""_"", """")"),"gastrostomytube")</f>
        <v>gastrostomytube</v>
      </c>
      <c r="L1313" s="70" t="s">
        <v>5079</v>
      </c>
      <c r="M1313" s="70" t="s">
        <v>5079</v>
      </c>
    </row>
    <row r="1314">
      <c r="A1314" s="70"/>
      <c r="B1314" s="68" t="s">
        <v>4919</v>
      </c>
      <c r="C1314" s="68" t="s">
        <v>5080</v>
      </c>
      <c r="D1314" s="68" t="s">
        <v>4989</v>
      </c>
      <c r="E1314" s="70" t="s">
        <v>5080</v>
      </c>
      <c r="F1314" s="71">
        <f t="shared" si="62"/>
        <v>2</v>
      </c>
      <c r="G1314" s="68" t="s">
        <v>5080</v>
      </c>
      <c r="H1314" s="70"/>
      <c r="I1314" s="7" t="str">
        <f>IFERROR(__xludf.DUMMYFUNCTION("regexreplace(lower(C1314), ""_"", """")"),"tracheostomy")</f>
        <v>tracheostomy</v>
      </c>
      <c r="J1314" s="9" t="b">
        <f t="shared" si="2"/>
        <v>1</v>
      </c>
      <c r="K1314" s="7" t="str">
        <f>IFERROR(__xludf.DUMMYFUNCTION("regexreplace(G1314, ""_"", """")"),"tracheostomy")</f>
        <v>tracheostomy</v>
      </c>
      <c r="L1314" s="70" t="s">
        <v>5081</v>
      </c>
      <c r="M1314" s="70" t="s">
        <v>5081</v>
      </c>
    </row>
    <row r="1315">
      <c r="A1315" s="70"/>
      <c r="B1315" s="68" t="s">
        <v>4919</v>
      </c>
      <c r="C1315" s="68" t="s">
        <v>5082</v>
      </c>
      <c r="D1315" s="68" t="s">
        <v>4989</v>
      </c>
      <c r="E1315" s="70" t="s">
        <v>5083</v>
      </c>
      <c r="F1315" s="71">
        <f t="shared" si="62"/>
        <v>2</v>
      </c>
      <c r="G1315" s="68" t="s">
        <v>5084</v>
      </c>
      <c r="H1315" s="70"/>
      <c r="I1315" s="7" t="str">
        <f>IFERROR(__xludf.DUMMYFUNCTION("regexreplace(lower(C1315), ""_"", """")"),"pulseoximeter")</f>
        <v>pulseoximeter</v>
      </c>
      <c r="J1315" s="9" t="b">
        <f t="shared" si="2"/>
        <v>1</v>
      </c>
      <c r="K1315" s="7" t="str">
        <f>IFERROR(__xludf.DUMMYFUNCTION("regexreplace(G1315, ""_"", """")"),"pulseoximeter")</f>
        <v>pulseoximeter</v>
      </c>
      <c r="L1315" s="70" t="s">
        <v>5085</v>
      </c>
      <c r="M1315" s="70" t="s">
        <v>5085</v>
      </c>
    </row>
    <row r="1316">
      <c r="A1316" s="70"/>
      <c r="B1316" s="68" t="s">
        <v>4919</v>
      </c>
      <c r="C1316" s="68" t="s">
        <v>5086</v>
      </c>
      <c r="D1316" s="68" t="s">
        <v>43</v>
      </c>
      <c r="E1316" s="70" t="s">
        <v>5087</v>
      </c>
      <c r="F1316" s="71">
        <f t="shared" si="62"/>
        <v>2</v>
      </c>
      <c r="G1316" s="68" t="s">
        <v>5088</v>
      </c>
      <c r="H1316" s="70"/>
      <c r="I1316" s="7" t="str">
        <f>IFERROR(__xludf.DUMMYFUNCTION("regexreplace(lower(C1316), ""_"", """")"),"flushot")</f>
        <v>flushot</v>
      </c>
      <c r="J1316" s="9" t="b">
        <f t="shared" si="2"/>
        <v>1</v>
      </c>
      <c r="K1316" s="7" t="str">
        <f>IFERROR(__xludf.DUMMYFUNCTION("regexreplace(G1316, ""_"", """")"),"flushot")</f>
        <v>flushot</v>
      </c>
      <c r="L1316" s="70" t="s">
        <v>5089</v>
      </c>
      <c r="M1316" s="70" t="s">
        <v>5089</v>
      </c>
    </row>
    <row r="1317">
      <c r="A1317" s="70"/>
      <c r="B1317" s="68" t="s">
        <v>4919</v>
      </c>
      <c r="C1317" s="68" t="s">
        <v>5090</v>
      </c>
      <c r="D1317" s="68" t="s">
        <v>43</v>
      </c>
      <c r="E1317" s="70" t="s">
        <v>5091</v>
      </c>
      <c r="F1317" s="71">
        <f t="shared" si="62"/>
        <v>2</v>
      </c>
      <c r="G1317" s="68" t="s">
        <v>5092</v>
      </c>
      <c r="H1317" s="70"/>
      <c r="I1317" s="7" t="str">
        <f>IFERROR(__xludf.DUMMYFUNCTION("regexreplace(lower(C1317), ""_"", """")"),"rsvprophylaxis")</f>
        <v>rsvprophylaxis</v>
      </c>
      <c r="J1317" s="9" t="b">
        <f t="shared" si="2"/>
        <v>1</v>
      </c>
      <c r="K1317" s="7" t="str">
        <f>IFERROR(__xludf.DUMMYFUNCTION("regexreplace(G1317, ""_"", """")"),"rsvprophylaxis")</f>
        <v>rsvprophylaxis</v>
      </c>
      <c r="L1317" s="70" t="s">
        <v>5093</v>
      </c>
      <c r="M1317" s="70" t="s">
        <v>5093</v>
      </c>
    </row>
    <row r="1318">
      <c r="A1318" s="70"/>
      <c r="B1318" s="68" t="s">
        <v>4919</v>
      </c>
      <c r="C1318" s="68" t="s">
        <v>5094</v>
      </c>
      <c r="D1318" s="68" t="s">
        <v>43</v>
      </c>
      <c r="E1318" s="70" t="s">
        <v>5095</v>
      </c>
      <c r="F1318" s="71">
        <f t="shared" si="62"/>
        <v>2</v>
      </c>
      <c r="G1318" s="68" t="s">
        <v>5096</v>
      </c>
      <c r="H1318" s="70"/>
      <c r="I1318" s="7" t="str">
        <f>IFERROR(__xludf.DUMMYFUNCTION("regexreplace(lower(C1318), ""_"", """")"),"independentfeedself")</f>
        <v>independentfeedself</v>
      </c>
      <c r="J1318" s="9" t="b">
        <f t="shared" si="2"/>
        <v>1</v>
      </c>
      <c r="K1318" s="7" t="str">
        <f>IFERROR(__xludf.DUMMYFUNCTION("regexreplace(G1318, ""_"", """")"),"independentfeedself")</f>
        <v>independentfeedself</v>
      </c>
      <c r="L1318" s="70" t="s">
        <v>5097</v>
      </c>
      <c r="M1318" s="70" t="s">
        <v>5097</v>
      </c>
    </row>
    <row r="1319">
      <c r="A1319" s="70"/>
      <c r="B1319" s="68" t="s">
        <v>4919</v>
      </c>
      <c r="C1319" s="68" t="s">
        <v>5098</v>
      </c>
      <c r="D1319" s="68" t="s">
        <v>43</v>
      </c>
      <c r="E1319" s="70" t="s">
        <v>5099</v>
      </c>
      <c r="F1319" s="71">
        <f t="shared" si="62"/>
        <v>2</v>
      </c>
      <c r="G1319" s="68" t="s">
        <v>5100</v>
      </c>
      <c r="H1319" s="70"/>
      <c r="I1319" s="7" t="str">
        <f>IFERROR(__xludf.DUMMYFUNCTION("regexreplace(lower(C1319), ""_"", """")"),"assistedeatbymouth")</f>
        <v>assistedeatbymouth</v>
      </c>
      <c r="J1319" s="9" t="b">
        <f t="shared" si="2"/>
        <v>1</v>
      </c>
      <c r="K1319" s="7" t="str">
        <f>IFERROR(__xludf.DUMMYFUNCTION("regexreplace(G1319, ""_"", """")"),"assistedeatbymouth")</f>
        <v>assistedeatbymouth</v>
      </c>
      <c r="L1319" s="70" t="s">
        <v>5101</v>
      </c>
      <c r="M1319" s="70" t="s">
        <v>5101</v>
      </c>
    </row>
    <row r="1320">
      <c r="A1320" s="70"/>
      <c r="B1320" s="68" t="s">
        <v>4919</v>
      </c>
      <c r="C1320" s="68" t="s">
        <v>5102</v>
      </c>
      <c r="D1320" s="68" t="s">
        <v>43</v>
      </c>
      <c r="E1320" s="70" t="s">
        <v>5103</v>
      </c>
      <c r="F1320" s="71">
        <f t="shared" si="62"/>
        <v>2</v>
      </c>
      <c r="G1320" s="68" t="s">
        <v>5104</v>
      </c>
      <c r="H1320" s="70"/>
      <c r="I1320" s="7" t="str">
        <f>IFERROR(__xludf.DUMMYFUNCTION("regexreplace(lower(C1320), ""_"", """")"),"tubefeed")</f>
        <v>tubefeed</v>
      </c>
      <c r="J1320" s="9" t="b">
        <f t="shared" si="2"/>
        <v>1</v>
      </c>
      <c r="K1320" s="7" t="str">
        <f>IFERROR(__xludf.DUMMYFUNCTION("regexreplace(G1320, ""_"", """")"),"tubefeed")</f>
        <v>tubefeed</v>
      </c>
      <c r="L1320" s="70" t="s">
        <v>5105</v>
      </c>
      <c r="M1320" s="70" t="s">
        <v>5105</v>
      </c>
    </row>
    <row r="1321">
      <c r="A1321" s="70"/>
      <c r="B1321" s="68" t="s">
        <v>4919</v>
      </c>
      <c r="C1321" s="68" t="s">
        <v>5106</v>
      </c>
      <c r="D1321" s="68" t="s">
        <v>43</v>
      </c>
      <c r="E1321" s="70" t="s">
        <v>5106</v>
      </c>
      <c r="F1321" s="71">
        <f t="shared" si="62"/>
        <v>2</v>
      </c>
      <c r="G1321" s="68" t="s">
        <v>5107</v>
      </c>
      <c r="H1321" s="70"/>
      <c r="I1321" s="7" t="str">
        <f>IFERROR(__xludf.DUMMYFUNCTION("regexreplace(lower(C1321), ""_"", """")"),"tpn")</f>
        <v>tpn</v>
      </c>
      <c r="J1321" s="9" t="b">
        <f t="shared" si="2"/>
        <v>1</v>
      </c>
      <c r="K1321" s="7" t="str">
        <f>IFERROR(__xludf.DUMMYFUNCTION("regexreplace(G1321, ""_"", """")"),"tpn")</f>
        <v>tpn</v>
      </c>
      <c r="L1321" s="70" t="s">
        <v>5108</v>
      </c>
      <c r="M1321" s="70" t="s">
        <v>5108</v>
      </c>
    </row>
    <row r="1322">
      <c r="A1322" s="70"/>
      <c r="B1322" s="68" t="s">
        <v>4919</v>
      </c>
      <c r="C1322" s="68" t="s">
        <v>5109</v>
      </c>
      <c r="D1322" s="68" t="s">
        <v>43</v>
      </c>
      <c r="E1322" s="70" t="s">
        <v>5110</v>
      </c>
      <c r="F1322" s="71">
        <f t="shared" si="62"/>
        <v>2</v>
      </c>
      <c r="G1322" s="68" t="s">
        <v>5111</v>
      </c>
      <c r="H1322" s="70"/>
      <c r="I1322" s="7" t="str">
        <f>IFERROR(__xludf.DUMMYFUNCTION("regexreplace(lower(C1322), ""_"", """")"),"dietmilk")</f>
        <v>dietmilk</v>
      </c>
      <c r="J1322" s="9" t="b">
        <f t="shared" si="2"/>
        <v>1</v>
      </c>
      <c r="K1322" s="7" t="str">
        <f>IFERROR(__xludf.DUMMYFUNCTION("regexreplace(G1322, ""_"", """")"),"dietmilk")</f>
        <v>dietmilk</v>
      </c>
      <c r="L1322" s="70" t="s">
        <v>5112</v>
      </c>
      <c r="M1322" s="70" t="s">
        <v>5112</v>
      </c>
    </row>
    <row r="1323">
      <c r="A1323" s="70"/>
      <c r="B1323" s="68" t="s">
        <v>4919</v>
      </c>
      <c r="C1323" s="68" t="s">
        <v>5113</v>
      </c>
      <c r="D1323" s="68" t="s">
        <v>43</v>
      </c>
      <c r="E1323" s="70" t="s">
        <v>5114</v>
      </c>
      <c r="F1323" s="71">
        <f t="shared" si="62"/>
        <v>2</v>
      </c>
      <c r="G1323" s="68" t="s">
        <v>5115</v>
      </c>
      <c r="H1323" s="70"/>
      <c r="I1323" s="7" t="str">
        <f>IFERROR(__xludf.DUMMYFUNCTION("regexreplace(lower(C1323), ""_"", """")"),"diettablefood")</f>
        <v>diettablefood</v>
      </c>
      <c r="J1323" s="9" t="b">
        <f t="shared" si="2"/>
        <v>1</v>
      </c>
      <c r="K1323" s="7" t="str">
        <f>IFERROR(__xludf.DUMMYFUNCTION("regexreplace(G1323, ""_"", """")"),"diettablefood")</f>
        <v>diettablefood</v>
      </c>
      <c r="L1323" s="70" t="s">
        <v>5116</v>
      </c>
      <c r="M1323" s="70" t="s">
        <v>5116</v>
      </c>
    </row>
    <row r="1324">
      <c r="A1324" s="70"/>
      <c r="B1324" s="68" t="s">
        <v>4919</v>
      </c>
      <c r="C1324" s="68" t="s">
        <v>5117</v>
      </c>
      <c r="D1324" s="68" t="s">
        <v>43</v>
      </c>
      <c r="E1324" s="70" t="s">
        <v>5118</v>
      </c>
      <c r="F1324" s="71">
        <f t="shared" si="62"/>
        <v>2</v>
      </c>
      <c r="G1324" s="68" t="s">
        <v>5119</v>
      </c>
      <c r="H1324" s="70"/>
      <c r="I1324" s="7" t="str">
        <f>IFERROR(__xludf.DUMMYFUNCTION("regexreplace(lower(C1324), ""_"", """")"),"dietsoftfood")</f>
        <v>dietsoftfood</v>
      </c>
      <c r="J1324" s="9" t="b">
        <f t="shared" si="2"/>
        <v>1</v>
      </c>
      <c r="K1324" s="7" t="str">
        <f>IFERROR(__xludf.DUMMYFUNCTION("regexreplace(G1324, ""_"", """")"),"dietsoftfood")</f>
        <v>dietsoftfood</v>
      </c>
      <c r="L1324" s="70" t="s">
        <v>5120</v>
      </c>
      <c r="M1324" s="70" t="s">
        <v>5120</v>
      </c>
    </row>
    <row r="1325">
      <c r="A1325" s="70"/>
      <c r="B1325" s="68" t="s">
        <v>4919</v>
      </c>
      <c r="C1325" s="68" t="s">
        <v>5121</v>
      </c>
      <c r="D1325" s="68" t="s">
        <v>43</v>
      </c>
      <c r="E1325" s="70" t="s">
        <v>5122</v>
      </c>
      <c r="F1325" s="71">
        <f t="shared" si="62"/>
        <v>2</v>
      </c>
      <c r="G1325" s="68" t="s">
        <v>5123</v>
      </c>
      <c r="H1325" s="70"/>
      <c r="I1325" s="7" t="str">
        <f>IFERROR(__xludf.DUMMYFUNCTION("regexreplace(lower(C1325), ""_"", """")"),"dietliquid")</f>
        <v>dietliquid</v>
      </c>
      <c r="J1325" s="9" t="b">
        <f t="shared" si="2"/>
        <v>1</v>
      </c>
      <c r="K1325" s="7" t="str">
        <f>IFERROR(__xludf.DUMMYFUNCTION("regexreplace(G1325, ""_"", """")"),"dietliquid")</f>
        <v>dietliquid</v>
      </c>
      <c r="L1325" s="70" t="s">
        <v>5124</v>
      </c>
      <c r="M1325" s="70" t="s">
        <v>5124</v>
      </c>
    </row>
    <row r="1326">
      <c r="A1326" s="70"/>
      <c r="B1326" s="68" t="s">
        <v>4919</v>
      </c>
      <c r="C1326" s="68" t="s">
        <v>5125</v>
      </c>
      <c r="D1326" s="68" t="s">
        <v>43</v>
      </c>
      <c r="E1326" s="70" t="s">
        <v>5126</v>
      </c>
      <c r="F1326" s="71">
        <f t="shared" si="62"/>
        <v>2</v>
      </c>
      <c r="G1326" s="68" t="s">
        <v>5127</v>
      </c>
      <c r="H1326" s="70"/>
      <c r="I1326" s="7" t="str">
        <f>IFERROR(__xludf.DUMMYFUNCTION("regexreplace(lower(C1326), ""_"", """")"),"dietthickendliquid")</f>
        <v>dietthickendliquid</v>
      </c>
      <c r="J1326" s="9" t="b">
        <f t="shared" si="2"/>
        <v>1</v>
      </c>
      <c r="K1326" s="7" t="str">
        <f>IFERROR(__xludf.DUMMYFUNCTION("regexreplace(G1326, ""_"", """")"),"dietthickendliquid")</f>
        <v>dietthickendliquid</v>
      </c>
      <c r="L1326" s="70" t="s">
        <v>5128</v>
      </c>
      <c r="M1326" s="70" t="s">
        <v>5128</v>
      </c>
    </row>
    <row r="1327">
      <c r="A1327" s="70"/>
      <c r="B1327" s="68" t="s">
        <v>4919</v>
      </c>
      <c r="C1327" s="68" t="s">
        <v>5129</v>
      </c>
      <c r="D1327" s="68" t="s">
        <v>43</v>
      </c>
      <c r="E1327" s="70" t="s">
        <v>5130</v>
      </c>
      <c r="F1327" s="71">
        <f t="shared" si="62"/>
        <v>1</v>
      </c>
      <c r="G1327" s="68" t="s">
        <v>5131</v>
      </c>
      <c r="H1327" s="70"/>
      <c r="I1327" s="7" t="str">
        <f>IFERROR(__xludf.DUMMYFUNCTION("regexreplace(lower(C1327), ""_"", """")"),"subcutaneousfatnecrosis")</f>
        <v>subcutaneousfatnecrosis</v>
      </c>
      <c r="J1327" s="9" t="b">
        <f t="shared" si="2"/>
        <v>1</v>
      </c>
      <c r="K1327" s="7" t="str">
        <f>IFERROR(__xludf.DUMMYFUNCTION("regexreplace(G1327, ""_"", """")"),"subcutaneousfatnecrosis")</f>
        <v>subcutaneousfatnecrosis</v>
      </c>
      <c r="L1327" s="70"/>
      <c r="M1327" s="70" t="s">
        <v>5132</v>
      </c>
    </row>
    <row r="1328">
      <c r="A1328" s="70"/>
      <c r="B1328" s="68" t="s">
        <v>4919</v>
      </c>
      <c r="C1328" s="68" t="s">
        <v>5133</v>
      </c>
      <c r="D1328" s="68" t="s">
        <v>43</v>
      </c>
      <c r="E1328" s="70" t="s">
        <v>5134</v>
      </c>
      <c r="F1328" s="71">
        <f t="shared" si="62"/>
        <v>2</v>
      </c>
      <c r="G1328" s="68" t="s">
        <v>5135</v>
      </c>
      <c r="H1328" s="70"/>
      <c r="I1328" s="7" t="str">
        <f>IFERROR(__xludf.DUMMYFUNCTION("regexreplace(lower(C1328), ""_"", """")"),"equipmentforstanding")</f>
        <v>equipmentforstanding</v>
      </c>
      <c r="J1328" s="9" t="b">
        <f t="shared" si="2"/>
        <v>1</v>
      </c>
      <c r="K1328" s="7" t="str">
        <f>IFERROR(__xludf.DUMMYFUNCTION("regexreplace(G1328, ""_"", """")"),"equipmentforstanding")</f>
        <v>equipmentforstanding</v>
      </c>
      <c r="L1328" s="70" t="s">
        <v>5136</v>
      </c>
      <c r="M1328" s="70" t="s">
        <v>5136</v>
      </c>
    </row>
    <row r="1329">
      <c r="A1329" s="70"/>
      <c r="B1329" s="68" t="s">
        <v>4919</v>
      </c>
      <c r="C1329" s="68" t="s">
        <v>5137</v>
      </c>
      <c r="D1329" s="68" t="s">
        <v>43</v>
      </c>
      <c r="E1329" s="70" t="s">
        <v>5138</v>
      </c>
      <c r="F1329" s="71">
        <f t="shared" si="62"/>
        <v>2</v>
      </c>
      <c r="G1329" s="68" t="s">
        <v>5139</v>
      </c>
      <c r="H1329" s="70"/>
      <c r="I1329" s="7" t="str">
        <f>IFERROR(__xludf.DUMMYFUNCTION("regexreplace(lower(C1329), ""_"", """")"),"adaptedstroller")</f>
        <v>adaptedstroller</v>
      </c>
      <c r="J1329" s="9" t="b">
        <f t="shared" si="2"/>
        <v>1</v>
      </c>
      <c r="K1329" s="7" t="str">
        <f>IFERROR(__xludf.DUMMYFUNCTION("regexreplace(G1329, ""_"", """")"),"adaptedstroller")</f>
        <v>adaptedstroller</v>
      </c>
      <c r="L1329" s="70" t="s">
        <v>5140</v>
      </c>
      <c r="M1329" s="70" t="s">
        <v>5140</v>
      </c>
    </row>
    <row r="1330">
      <c r="A1330" s="70"/>
      <c r="B1330" s="68" t="s">
        <v>4919</v>
      </c>
      <c r="C1330" s="68" t="s">
        <v>5141</v>
      </c>
      <c r="D1330" s="68" t="s">
        <v>43</v>
      </c>
      <c r="E1330" s="70" t="s">
        <v>5142</v>
      </c>
      <c r="F1330" s="71">
        <f t="shared" si="62"/>
        <v>2</v>
      </c>
      <c r="G1330" s="68" t="s">
        <v>5143</v>
      </c>
      <c r="H1330" s="70"/>
      <c r="I1330" s="7" t="str">
        <f>IFERROR(__xludf.DUMMYFUNCTION("regexreplace(lower(C1330), ""_"", """")"),"bracesorthotics")</f>
        <v>bracesorthotics</v>
      </c>
      <c r="J1330" s="9" t="b">
        <f t="shared" si="2"/>
        <v>1</v>
      </c>
      <c r="K1330" s="7" t="str">
        <f>IFERROR(__xludf.DUMMYFUNCTION("regexreplace(G1330, ""_"", """")"),"bracesorthotics")</f>
        <v>bracesorthotics</v>
      </c>
      <c r="L1330" s="70" t="s">
        <v>5144</v>
      </c>
      <c r="M1330" s="70" t="s">
        <v>5144</v>
      </c>
    </row>
    <row r="1331">
      <c r="A1331" s="70"/>
      <c r="B1331" s="68" t="s">
        <v>4919</v>
      </c>
      <c r="C1331" s="68" t="s">
        <v>5145</v>
      </c>
      <c r="D1331" s="68" t="s">
        <v>43</v>
      </c>
      <c r="E1331" s="70" t="s">
        <v>5145</v>
      </c>
      <c r="F1331" s="71">
        <f t="shared" si="62"/>
        <v>2</v>
      </c>
      <c r="G1331" s="68" t="s">
        <v>5145</v>
      </c>
      <c r="H1331" s="70"/>
      <c r="I1331" s="7" t="str">
        <f>IFERROR(__xludf.DUMMYFUNCTION("regexreplace(lower(C1331), ""_"", """")"),"walker")</f>
        <v>walker</v>
      </c>
      <c r="J1331" s="9" t="b">
        <f t="shared" si="2"/>
        <v>1</v>
      </c>
      <c r="K1331" s="7" t="str">
        <f>IFERROR(__xludf.DUMMYFUNCTION("regexreplace(G1331, ""_"", """")"),"walker")</f>
        <v>walker</v>
      </c>
      <c r="L1331" s="70" t="s">
        <v>5146</v>
      </c>
      <c r="M1331" s="70" t="s">
        <v>5146</v>
      </c>
    </row>
    <row r="1332">
      <c r="A1332" s="70"/>
      <c r="B1332" s="68" t="s">
        <v>4919</v>
      </c>
      <c r="C1332" s="68" t="s">
        <v>5147</v>
      </c>
      <c r="D1332" s="68" t="s">
        <v>43</v>
      </c>
      <c r="E1332" s="70" t="s">
        <v>5147</v>
      </c>
      <c r="F1332" s="71">
        <f t="shared" si="62"/>
        <v>2</v>
      </c>
      <c r="G1332" s="68" t="s">
        <v>5147</v>
      </c>
      <c r="H1332" s="70"/>
      <c r="I1332" s="7" t="str">
        <f>IFERROR(__xludf.DUMMYFUNCTION("regexreplace(lower(C1332), ""_"", """")"),"stander")</f>
        <v>stander</v>
      </c>
      <c r="J1332" s="9" t="b">
        <f t="shared" si="2"/>
        <v>1</v>
      </c>
      <c r="K1332" s="7" t="str">
        <f>IFERROR(__xludf.DUMMYFUNCTION("regexreplace(G1332, ""_"", """")"),"stander")</f>
        <v>stander</v>
      </c>
      <c r="L1332" s="70" t="s">
        <v>5148</v>
      </c>
      <c r="M1332" s="70" t="s">
        <v>5148</v>
      </c>
    </row>
    <row r="1333">
      <c r="A1333" s="70"/>
      <c r="B1333" s="68" t="s">
        <v>4919</v>
      </c>
      <c r="C1333" s="68" t="s">
        <v>5149</v>
      </c>
      <c r="D1333" s="68" t="s">
        <v>43</v>
      </c>
      <c r="E1333" s="70" t="s">
        <v>5150</v>
      </c>
      <c r="F1333" s="71">
        <f t="shared" si="62"/>
        <v>2</v>
      </c>
      <c r="G1333" s="68" t="s">
        <v>5151</v>
      </c>
      <c r="H1333" s="70"/>
      <c r="I1333" s="7" t="str">
        <f>IFERROR(__xludf.DUMMYFUNCTION("regexreplace(lower(C1333), ""_"", """")"),"cornerchairtumblerform")</f>
        <v>cornerchairtumblerform</v>
      </c>
      <c r="J1333" s="9" t="b">
        <f t="shared" si="2"/>
        <v>1</v>
      </c>
      <c r="K1333" s="7" t="str">
        <f>IFERROR(__xludf.DUMMYFUNCTION("regexreplace(G1333, ""_"", """")"),"cornerchairtumblerform")</f>
        <v>cornerchairtumblerform</v>
      </c>
      <c r="L1333" s="70" t="s">
        <v>5152</v>
      </c>
      <c r="M1333" s="70" t="s">
        <v>5152</v>
      </c>
    </row>
    <row r="1334">
      <c r="A1334" s="12"/>
      <c r="B1334" s="12"/>
      <c r="C1334" s="13"/>
      <c r="D1334" s="12"/>
      <c r="E1334" s="12"/>
      <c r="F1334" s="12"/>
      <c r="G1334" s="12" t="s">
        <v>913</v>
      </c>
      <c r="H1334" s="70"/>
      <c r="I1334" s="7" t="str">
        <f>IFERROR(__xludf.DUMMYFUNCTION("regexreplace(lower(C1334), ""_"", """")"),"")</f>
        <v/>
      </c>
      <c r="J1334" s="9" t="str">
        <f t="shared" si="2"/>
        <v/>
      </c>
      <c r="K1334" s="7" t="str">
        <f>IFERROR(__xludf.DUMMYFUNCTION("regexreplace(G1334, ""_"", """")"),"")</f>
        <v/>
      </c>
      <c r="L1334" s="12"/>
      <c r="M1334" s="12"/>
    </row>
    <row r="1335">
      <c r="A1335" s="68" t="s">
        <v>4607</v>
      </c>
      <c r="B1335" s="68" t="s">
        <v>5153</v>
      </c>
      <c r="C1335" s="73" t="s">
        <v>5154</v>
      </c>
      <c r="D1335" s="68" t="s">
        <v>154</v>
      </c>
      <c r="E1335" s="70"/>
      <c r="F1335" s="71">
        <f t="shared" ref="F1335:F1473" si="63">counta(L1335:M1335)</f>
        <v>2</v>
      </c>
      <c r="G1335" s="73" t="s">
        <v>5154</v>
      </c>
      <c r="H1335" s="70"/>
      <c r="I1335" s="7" t="str">
        <f>IFERROR(__xludf.DUMMYFUNCTION("regexreplace(lower(C1335), ""_"", """")"),"weightkg")</f>
        <v>weightkg</v>
      </c>
      <c r="J1335" s="9" t="b">
        <f t="shared" si="2"/>
        <v>1</v>
      </c>
      <c r="K1335" s="7" t="str">
        <f>IFERROR(__xludf.DUMMYFUNCTION("regexreplace(G1335, ""_"", """")"),"weightkg")</f>
        <v>weightkg</v>
      </c>
      <c r="L1335" s="70" t="s">
        <v>5155</v>
      </c>
      <c r="M1335" s="70" t="s">
        <v>5155</v>
      </c>
    </row>
    <row r="1336">
      <c r="A1336" s="70"/>
      <c r="B1336" s="68" t="s">
        <v>5153</v>
      </c>
      <c r="C1336" s="68" t="s">
        <v>5156</v>
      </c>
      <c r="D1336" s="68" t="s">
        <v>154</v>
      </c>
      <c r="E1336" s="70"/>
      <c r="F1336" s="71">
        <f t="shared" si="63"/>
        <v>2</v>
      </c>
      <c r="G1336" s="68" t="s">
        <v>5156</v>
      </c>
      <c r="H1336" s="70"/>
      <c r="I1336" s="7" t="str">
        <f>IFERROR(__xludf.DUMMYFUNCTION("regexreplace(lower(C1336), ""_"", """")"),"lengthcm")</f>
        <v>lengthcm</v>
      </c>
      <c r="J1336" s="9" t="b">
        <f t="shared" si="2"/>
        <v>1</v>
      </c>
      <c r="K1336" s="7" t="str">
        <f>IFERROR(__xludf.DUMMYFUNCTION("regexreplace(G1336, ""_"", """")"),"lengthcm")</f>
        <v>lengthcm</v>
      </c>
      <c r="L1336" s="70" t="s">
        <v>5157</v>
      </c>
      <c r="M1336" s="70" t="s">
        <v>5157</v>
      </c>
    </row>
    <row r="1337">
      <c r="A1337" s="70"/>
      <c r="B1337" s="68" t="s">
        <v>5153</v>
      </c>
      <c r="C1337" s="68" t="s">
        <v>5158</v>
      </c>
      <c r="D1337" s="68" t="s">
        <v>154</v>
      </c>
      <c r="E1337" s="70"/>
      <c r="F1337" s="71">
        <f t="shared" si="63"/>
        <v>2</v>
      </c>
      <c r="G1337" s="68" t="s">
        <v>5159</v>
      </c>
      <c r="H1337" s="70"/>
      <c r="I1337" s="7" t="str">
        <f>IFERROR(__xludf.DUMMYFUNCTION("regexreplace(lower(C1337), ""_"", """")"),"headcircumferencecm")</f>
        <v>headcircumferencecm</v>
      </c>
      <c r="J1337" s="9" t="b">
        <f t="shared" si="2"/>
        <v>1</v>
      </c>
      <c r="K1337" s="7" t="str">
        <f>IFERROR(__xludf.DUMMYFUNCTION("regexreplace(G1337, ""_"", """")"),"headcircumferencecm")</f>
        <v>headcircumferencecm</v>
      </c>
      <c r="L1337" s="70" t="s">
        <v>5160</v>
      </c>
      <c r="M1337" s="70" t="s">
        <v>5160</v>
      </c>
    </row>
    <row r="1338">
      <c r="A1338" s="70"/>
      <c r="B1338" s="68" t="s">
        <v>5153</v>
      </c>
      <c r="C1338" s="68" t="s">
        <v>5161</v>
      </c>
      <c r="D1338" s="68" t="s">
        <v>5162</v>
      </c>
      <c r="E1338" s="70" t="s">
        <v>5163</v>
      </c>
      <c r="F1338" s="71">
        <f t="shared" si="63"/>
        <v>2</v>
      </c>
      <c r="G1338" s="68" t="s">
        <v>5164</v>
      </c>
      <c r="H1338" s="70"/>
      <c r="I1338" s="7" t="str">
        <f>IFERROR(__xludf.DUMMYFUNCTION("regexreplace(lower(C1338), ""_"", """")"),"strabismusright")</f>
        <v>strabismusright</v>
      </c>
      <c r="J1338" s="9" t="b">
        <f t="shared" si="2"/>
        <v>1</v>
      </c>
      <c r="K1338" s="7" t="str">
        <f>IFERROR(__xludf.DUMMYFUNCTION("regexreplace(G1338, ""_"", """")"),"strabismusright")</f>
        <v>strabismusright</v>
      </c>
      <c r="L1338" s="70" t="s">
        <v>5165</v>
      </c>
      <c r="M1338" s="70" t="s">
        <v>5165</v>
      </c>
    </row>
    <row r="1339">
      <c r="A1339" s="70"/>
      <c r="B1339" s="68" t="s">
        <v>5153</v>
      </c>
      <c r="C1339" s="68" t="s">
        <v>5166</v>
      </c>
      <c r="D1339" s="68" t="s">
        <v>5162</v>
      </c>
      <c r="E1339" s="70" t="s">
        <v>5167</v>
      </c>
      <c r="F1339" s="71">
        <f t="shared" si="63"/>
        <v>2</v>
      </c>
      <c r="G1339" s="68" t="s">
        <v>5168</v>
      </c>
      <c r="H1339" s="70"/>
      <c r="I1339" s="7" t="str">
        <f>IFERROR(__xludf.DUMMYFUNCTION("regexreplace(lower(C1339), ""_"", """")"),"strabismusleft")</f>
        <v>strabismusleft</v>
      </c>
      <c r="J1339" s="9" t="b">
        <f t="shared" si="2"/>
        <v>1</v>
      </c>
      <c r="K1339" s="7" t="str">
        <f>IFERROR(__xludf.DUMMYFUNCTION("regexreplace(G1339, ""_"", """")"),"strabismusleft")</f>
        <v>strabismusleft</v>
      </c>
      <c r="L1339" s="70" t="s">
        <v>5169</v>
      </c>
      <c r="M1339" s="70" t="s">
        <v>5169</v>
      </c>
    </row>
    <row r="1340">
      <c r="A1340" s="70"/>
      <c r="B1340" s="68" t="s">
        <v>5153</v>
      </c>
      <c r="C1340" s="68" t="s">
        <v>5170</v>
      </c>
      <c r="D1340" s="68" t="s">
        <v>5162</v>
      </c>
      <c r="E1340" s="70" t="s">
        <v>5171</v>
      </c>
      <c r="F1340" s="71">
        <f t="shared" si="63"/>
        <v>2</v>
      </c>
      <c r="G1340" s="68" t="s">
        <v>5172</v>
      </c>
      <c r="H1340" s="70"/>
      <c r="I1340" s="7" t="str">
        <f>IFERROR(__xludf.DUMMYFUNCTION("regexreplace(lower(C1340), ""_"", """")"),"nystagmusright")</f>
        <v>nystagmusright</v>
      </c>
      <c r="J1340" s="9" t="b">
        <f t="shared" si="2"/>
        <v>1</v>
      </c>
      <c r="K1340" s="7" t="str">
        <f>IFERROR(__xludf.DUMMYFUNCTION("regexreplace(G1340, ""_"", """")"),"nystagmusright")</f>
        <v>nystagmusright</v>
      </c>
      <c r="L1340" s="70" t="s">
        <v>5173</v>
      </c>
      <c r="M1340" s="70" t="s">
        <v>5173</v>
      </c>
    </row>
    <row r="1341">
      <c r="A1341" s="70"/>
      <c r="B1341" s="68" t="s">
        <v>5153</v>
      </c>
      <c r="C1341" s="68" t="s">
        <v>5174</v>
      </c>
      <c r="D1341" s="68" t="s">
        <v>5162</v>
      </c>
      <c r="E1341" s="70" t="s">
        <v>5175</v>
      </c>
      <c r="F1341" s="71">
        <f t="shared" si="63"/>
        <v>2</v>
      </c>
      <c r="G1341" s="68" t="s">
        <v>5176</v>
      </c>
      <c r="H1341" s="70"/>
      <c r="I1341" s="7" t="str">
        <f>IFERROR(__xludf.DUMMYFUNCTION("regexreplace(lower(C1341), ""_"", """")"),"nystagmusleft")</f>
        <v>nystagmusleft</v>
      </c>
      <c r="J1341" s="9" t="b">
        <f t="shared" si="2"/>
        <v>1</v>
      </c>
      <c r="K1341" s="7" t="str">
        <f>IFERROR(__xludf.DUMMYFUNCTION("regexreplace(G1341, ""_"", """")"),"nystagmusleft")</f>
        <v>nystagmusleft</v>
      </c>
      <c r="L1341" s="70" t="s">
        <v>5177</v>
      </c>
      <c r="M1341" s="70" t="s">
        <v>5177</v>
      </c>
    </row>
    <row r="1342">
      <c r="A1342" s="70"/>
      <c r="B1342" s="68" t="s">
        <v>5153</v>
      </c>
      <c r="C1342" s="68" t="s">
        <v>5178</v>
      </c>
      <c r="D1342" s="68" t="s">
        <v>5162</v>
      </c>
      <c r="E1342" s="70" t="s">
        <v>5179</v>
      </c>
      <c r="F1342" s="71">
        <f t="shared" si="63"/>
        <v>2</v>
      </c>
      <c r="G1342" s="68" t="s">
        <v>5180</v>
      </c>
      <c r="H1342" s="70"/>
      <c r="I1342" s="7" t="str">
        <f>IFERROR(__xludf.DUMMYFUNCTION("regexreplace(lower(C1342), ""_"", """")"),"rovingeyemovementright")</f>
        <v>rovingeyemovementright</v>
      </c>
      <c r="J1342" s="9" t="b">
        <f t="shared" si="2"/>
        <v>1</v>
      </c>
      <c r="K1342" s="7" t="str">
        <f>IFERROR(__xludf.DUMMYFUNCTION("regexreplace(G1342, ""_"", """")"),"rovingeyemovementright")</f>
        <v>rovingeyemovementright</v>
      </c>
      <c r="L1342" s="70" t="s">
        <v>5181</v>
      </c>
      <c r="M1342" s="70" t="s">
        <v>5181</v>
      </c>
    </row>
    <row r="1343">
      <c r="A1343" s="70"/>
      <c r="B1343" s="68" t="s">
        <v>5153</v>
      </c>
      <c r="C1343" s="68" t="s">
        <v>5182</v>
      </c>
      <c r="D1343" s="68" t="s">
        <v>5162</v>
      </c>
      <c r="E1343" s="70" t="s">
        <v>5183</v>
      </c>
      <c r="F1343" s="71">
        <f t="shared" si="63"/>
        <v>2</v>
      </c>
      <c r="G1343" s="68" t="s">
        <v>5184</v>
      </c>
      <c r="H1343" s="70"/>
      <c r="I1343" s="7" t="str">
        <f>IFERROR(__xludf.DUMMYFUNCTION("regexreplace(lower(C1343), ""_"", """")"),"rovingeyemovementleft")</f>
        <v>rovingeyemovementleft</v>
      </c>
      <c r="J1343" s="9" t="b">
        <f t="shared" si="2"/>
        <v>1</v>
      </c>
      <c r="K1343" s="7" t="str">
        <f>IFERROR(__xludf.DUMMYFUNCTION("regexreplace(G1343, ""_"", """")"),"rovingeyemovementleft")</f>
        <v>rovingeyemovementleft</v>
      </c>
      <c r="L1343" s="70" t="s">
        <v>5185</v>
      </c>
      <c r="M1343" s="70" t="s">
        <v>5185</v>
      </c>
    </row>
    <row r="1344">
      <c r="A1344" s="70"/>
      <c r="B1344" s="68" t="s">
        <v>5153</v>
      </c>
      <c r="C1344" s="68" t="s">
        <v>5186</v>
      </c>
      <c r="D1344" s="68" t="s">
        <v>5162</v>
      </c>
      <c r="E1344" s="70" t="s">
        <v>5187</v>
      </c>
      <c r="F1344" s="71">
        <f t="shared" si="63"/>
        <v>2</v>
      </c>
      <c r="G1344" s="68" t="s">
        <v>5188</v>
      </c>
      <c r="H1344" s="70"/>
      <c r="I1344" s="7" t="str">
        <f>IFERROR(__xludf.DUMMYFUNCTION("regexreplace(lower(C1344), ""_"", """")"),"eyetrackright")</f>
        <v>eyetrackright</v>
      </c>
      <c r="J1344" s="9" t="b">
        <f t="shared" si="2"/>
        <v>1</v>
      </c>
      <c r="K1344" s="7" t="str">
        <f>IFERROR(__xludf.DUMMYFUNCTION("regexreplace(G1344, ""_"", """")"),"eyetrackright")</f>
        <v>eyetrackright</v>
      </c>
      <c r="L1344" s="70" t="s">
        <v>5189</v>
      </c>
      <c r="M1344" s="70" t="s">
        <v>5189</v>
      </c>
    </row>
    <row r="1345">
      <c r="A1345" s="70"/>
      <c r="B1345" s="68" t="s">
        <v>5153</v>
      </c>
      <c r="C1345" s="68" t="s">
        <v>5190</v>
      </c>
      <c r="D1345" s="68" t="s">
        <v>5162</v>
      </c>
      <c r="E1345" s="70" t="s">
        <v>5191</v>
      </c>
      <c r="F1345" s="71">
        <f t="shared" si="63"/>
        <v>2</v>
      </c>
      <c r="G1345" s="68" t="s">
        <v>5192</v>
      </c>
      <c r="H1345" s="70"/>
      <c r="I1345" s="7" t="str">
        <f>IFERROR(__xludf.DUMMYFUNCTION("regexreplace(lower(C1345), ""_"", """")"),"eyetrackleft")</f>
        <v>eyetrackleft</v>
      </c>
      <c r="J1345" s="9" t="b">
        <f t="shared" si="2"/>
        <v>1</v>
      </c>
      <c r="K1345" s="7" t="str">
        <f>IFERROR(__xludf.DUMMYFUNCTION("regexreplace(G1345, ""_"", """")"),"eyetrackleft")</f>
        <v>eyetrackleft</v>
      </c>
      <c r="L1345" s="70" t="s">
        <v>5193</v>
      </c>
      <c r="M1345" s="70" t="s">
        <v>5193</v>
      </c>
    </row>
    <row r="1346">
      <c r="A1346" s="70"/>
      <c r="B1346" s="68" t="s">
        <v>5153</v>
      </c>
      <c r="C1346" s="68" t="s">
        <v>5194</v>
      </c>
      <c r="D1346" s="68" t="s">
        <v>5195</v>
      </c>
      <c r="E1346" s="70" t="s">
        <v>5196</v>
      </c>
      <c r="F1346" s="71">
        <f t="shared" si="63"/>
        <v>2</v>
      </c>
      <c r="G1346" s="68" t="s">
        <v>5197</v>
      </c>
      <c r="H1346" s="70"/>
      <c r="I1346" s="7" t="str">
        <f>IFERROR(__xludf.DUMMYFUNCTION("regexreplace(lower(C1346), ""_"", """")"),"visionright")</f>
        <v>visionright</v>
      </c>
      <c r="J1346" s="9" t="b">
        <f t="shared" si="2"/>
        <v>1</v>
      </c>
      <c r="K1346" s="7" t="str">
        <f>IFERROR(__xludf.DUMMYFUNCTION("regexreplace(G1346, ""_"", """")"),"visionright")</f>
        <v>visionright</v>
      </c>
      <c r="L1346" s="70" t="s">
        <v>5198</v>
      </c>
      <c r="M1346" s="70" t="s">
        <v>5198</v>
      </c>
    </row>
    <row r="1347">
      <c r="A1347" s="70"/>
      <c r="B1347" s="68" t="s">
        <v>5153</v>
      </c>
      <c r="C1347" s="68" t="s">
        <v>5199</v>
      </c>
      <c r="D1347" s="68" t="s">
        <v>5195</v>
      </c>
      <c r="E1347" s="70" t="s">
        <v>5200</v>
      </c>
      <c r="F1347" s="71">
        <f t="shared" si="63"/>
        <v>2</v>
      </c>
      <c r="G1347" s="68" t="s">
        <v>5201</v>
      </c>
      <c r="H1347" s="70"/>
      <c r="I1347" s="7" t="str">
        <f>IFERROR(__xludf.DUMMYFUNCTION("regexreplace(lower(C1347), ""_"", """")"),"visionleft")</f>
        <v>visionleft</v>
      </c>
      <c r="J1347" s="9" t="b">
        <f t="shared" si="2"/>
        <v>1</v>
      </c>
      <c r="K1347" s="7" t="str">
        <f>IFERROR(__xludf.DUMMYFUNCTION("regexreplace(G1347, ""_"", """")"),"visionleft")</f>
        <v>visionleft</v>
      </c>
      <c r="L1347" s="70" t="s">
        <v>5202</v>
      </c>
      <c r="M1347" s="70" t="s">
        <v>5202</v>
      </c>
    </row>
    <row r="1348">
      <c r="A1348" s="68" t="s">
        <v>4607</v>
      </c>
      <c r="B1348" s="68" t="s">
        <v>5153</v>
      </c>
      <c r="C1348" s="68" t="s">
        <v>5203</v>
      </c>
      <c r="D1348" s="68" t="s">
        <v>43</v>
      </c>
      <c r="E1348" s="70" t="s">
        <v>5204</v>
      </c>
      <c r="F1348" s="71">
        <f t="shared" si="63"/>
        <v>2</v>
      </c>
      <c r="G1348" s="68" t="s">
        <v>5205</v>
      </c>
      <c r="H1348" s="70"/>
      <c r="I1348" s="7" t="str">
        <f>IFERROR(__xludf.DUMMYFUNCTION("regexreplace(lower(C1348), ""_"", """")"),"audiologicassessment")</f>
        <v>audiologicassessment</v>
      </c>
      <c r="J1348" s="9" t="b">
        <f t="shared" si="2"/>
        <v>1</v>
      </c>
      <c r="K1348" s="7" t="str">
        <f>IFERROR(__xludf.DUMMYFUNCTION("regexreplace(G1348, ""_"", """")"),"audiologicassessment")</f>
        <v>audiologicassessment</v>
      </c>
      <c r="L1348" s="70" t="s">
        <v>5206</v>
      </c>
      <c r="M1348" s="70" t="s">
        <v>5206</v>
      </c>
    </row>
    <row r="1349">
      <c r="A1349" s="70"/>
      <c r="B1349" s="68" t="s">
        <v>5153</v>
      </c>
      <c r="C1349" s="68" t="s">
        <v>5207</v>
      </c>
      <c r="D1349" s="68" t="s">
        <v>43</v>
      </c>
      <c r="E1349" s="70" t="s">
        <v>5208</v>
      </c>
      <c r="F1349" s="71">
        <f t="shared" si="63"/>
        <v>2</v>
      </c>
      <c r="G1349" s="68" t="s">
        <v>5209</v>
      </c>
      <c r="H1349" s="70"/>
      <c r="I1349" s="7" t="str">
        <f>IFERROR(__xludf.DUMMYFUNCTION("regexreplace(lower(C1349), ""_"", """")"),"audiologicpendingforassessment")</f>
        <v>audiologicpendingforassessment</v>
      </c>
      <c r="J1349" s="9" t="b">
        <f t="shared" si="2"/>
        <v>1</v>
      </c>
      <c r="K1349" s="7" t="str">
        <f>IFERROR(__xludf.DUMMYFUNCTION("regexreplace(G1349, ""_"", """")"),"audiologicpendingforassessment")</f>
        <v>audiologicpendingforassessment</v>
      </c>
      <c r="L1349" s="70" t="s">
        <v>5210</v>
      </c>
      <c r="M1349" s="70" t="s">
        <v>5210</v>
      </c>
    </row>
    <row r="1350">
      <c r="A1350" s="70"/>
      <c r="B1350" s="68" t="s">
        <v>5153</v>
      </c>
      <c r="C1350" s="68" t="s">
        <v>5211</v>
      </c>
      <c r="D1350" s="68" t="s">
        <v>43</v>
      </c>
      <c r="E1350" s="70" t="s">
        <v>5212</v>
      </c>
      <c r="F1350" s="71">
        <f t="shared" si="63"/>
        <v>2</v>
      </c>
      <c r="G1350" s="68" t="s">
        <v>5213</v>
      </c>
      <c r="H1350" s="70"/>
      <c r="I1350" s="7" t="str">
        <f>IFERROR(__xludf.DUMMYFUNCTION("regexreplace(lower(C1350), ""_"", """")"),"visualreinforcementaudiometry")</f>
        <v>visualreinforcementaudiometry</v>
      </c>
      <c r="J1350" s="9" t="b">
        <f t="shared" si="2"/>
        <v>1</v>
      </c>
      <c r="K1350" s="7" t="str">
        <f>IFERROR(__xludf.DUMMYFUNCTION("regexreplace(G1350, ""_"", """")"),"visualreinforcementaudiometry")</f>
        <v>visualreinforcementaudiometry</v>
      </c>
      <c r="L1350" s="70" t="s">
        <v>5214</v>
      </c>
      <c r="M1350" s="70" t="s">
        <v>5214</v>
      </c>
    </row>
    <row r="1351">
      <c r="A1351" s="70"/>
      <c r="B1351" s="68" t="s">
        <v>5153</v>
      </c>
      <c r="C1351" s="68" t="s">
        <v>5215</v>
      </c>
      <c r="D1351" s="68" t="s">
        <v>5216</v>
      </c>
      <c r="E1351" s="70" t="s">
        <v>5217</v>
      </c>
      <c r="F1351" s="71">
        <f t="shared" si="63"/>
        <v>2</v>
      </c>
      <c r="G1351" s="68" t="s">
        <v>5218</v>
      </c>
      <c r="H1351" s="70"/>
      <c r="I1351" s="7" t="str">
        <f>IFERROR(__xludf.DUMMYFUNCTION("regexreplace(lower(C1351), ""_"", """")"),"vraright")</f>
        <v>vraright</v>
      </c>
      <c r="J1351" s="9" t="b">
        <f t="shared" si="2"/>
        <v>1</v>
      </c>
      <c r="K1351" s="7" t="str">
        <f>IFERROR(__xludf.DUMMYFUNCTION("regexreplace(G1351, ""_"", """")"),"vraright")</f>
        <v>vraright</v>
      </c>
      <c r="L1351" s="70" t="s">
        <v>5219</v>
      </c>
      <c r="M1351" s="70" t="s">
        <v>5219</v>
      </c>
    </row>
    <row r="1352">
      <c r="A1352" s="70"/>
      <c r="B1352" s="68" t="s">
        <v>5153</v>
      </c>
      <c r="C1352" s="68" t="s">
        <v>5220</v>
      </c>
      <c r="D1352" s="68" t="s">
        <v>5216</v>
      </c>
      <c r="E1352" s="70" t="s">
        <v>5221</v>
      </c>
      <c r="F1352" s="71">
        <f t="shared" si="63"/>
        <v>2</v>
      </c>
      <c r="G1352" s="68" t="s">
        <v>5222</v>
      </c>
      <c r="H1352" s="70"/>
      <c r="I1352" s="7" t="str">
        <f>IFERROR(__xludf.DUMMYFUNCTION("regexreplace(lower(C1352), ""_"", """")"),"vraleft")</f>
        <v>vraleft</v>
      </c>
      <c r="J1352" s="9" t="b">
        <f t="shared" si="2"/>
        <v>1</v>
      </c>
      <c r="K1352" s="7" t="str">
        <f>IFERROR(__xludf.DUMMYFUNCTION("regexreplace(G1352, ""_"", """")"),"vraleft")</f>
        <v>vraleft</v>
      </c>
      <c r="L1352" s="70" t="s">
        <v>5223</v>
      </c>
      <c r="M1352" s="70" t="s">
        <v>5223</v>
      </c>
    </row>
    <row r="1353">
      <c r="A1353" s="70"/>
      <c r="B1353" s="68" t="s">
        <v>5153</v>
      </c>
      <c r="C1353" s="68" t="s">
        <v>5224</v>
      </c>
      <c r="D1353" s="68" t="s">
        <v>5216</v>
      </c>
      <c r="E1353" s="70" t="s">
        <v>5225</v>
      </c>
      <c r="F1353" s="71">
        <f t="shared" si="63"/>
        <v>2</v>
      </c>
      <c r="G1353" s="68" t="s">
        <v>5226</v>
      </c>
      <c r="H1353" s="70"/>
      <c r="I1353" s="7" t="str">
        <f>IFERROR(__xludf.DUMMYFUNCTION("regexreplace(lower(C1353), ""_"", """")"),"vrasoundfield")</f>
        <v>vrasoundfield</v>
      </c>
      <c r="J1353" s="9" t="b">
        <f t="shared" si="2"/>
        <v>1</v>
      </c>
      <c r="K1353" s="7" t="str">
        <f>IFERROR(__xludf.DUMMYFUNCTION("regexreplace(G1353, ""_"", """")"),"vrasoundfield")</f>
        <v>vrasoundfield</v>
      </c>
      <c r="L1353" s="70" t="s">
        <v>5227</v>
      </c>
      <c r="M1353" s="70" t="s">
        <v>5227</v>
      </c>
    </row>
    <row r="1354">
      <c r="A1354" s="70"/>
      <c r="B1354" s="68" t="s">
        <v>5153</v>
      </c>
      <c r="C1354" s="68" t="s">
        <v>5228</v>
      </c>
      <c r="D1354" s="68" t="s">
        <v>43</v>
      </c>
      <c r="E1354" s="70" t="s">
        <v>5229</v>
      </c>
      <c r="F1354" s="71">
        <f t="shared" si="63"/>
        <v>2</v>
      </c>
      <c r="G1354" s="68" t="s">
        <v>5230</v>
      </c>
      <c r="H1354" s="70"/>
      <c r="I1354" s="7" t="str">
        <f>IFERROR(__xludf.DUMMYFUNCTION("regexreplace(lower(C1354), ""_"", """")"),"abr")</f>
        <v>abr</v>
      </c>
      <c r="J1354" s="9" t="b">
        <f t="shared" si="2"/>
        <v>1</v>
      </c>
      <c r="K1354" s="7" t="str">
        <f>IFERROR(__xludf.DUMMYFUNCTION("regexreplace(G1354, ""_"", """")"),"abr")</f>
        <v>abr</v>
      </c>
      <c r="L1354" s="70" t="s">
        <v>5231</v>
      </c>
      <c r="M1354" s="70" t="s">
        <v>5231</v>
      </c>
    </row>
    <row r="1355">
      <c r="A1355" s="70"/>
      <c r="B1355" s="68" t="s">
        <v>5153</v>
      </c>
      <c r="C1355" s="68" t="s">
        <v>5232</v>
      </c>
      <c r="D1355" s="68" t="s">
        <v>5216</v>
      </c>
      <c r="E1355" s="70" t="s">
        <v>5233</v>
      </c>
      <c r="F1355" s="71">
        <f t="shared" si="63"/>
        <v>2</v>
      </c>
      <c r="G1355" s="68" t="s">
        <v>5234</v>
      </c>
      <c r="H1355" s="70"/>
      <c r="I1355" s="7" t="str">
        <f>IFERROR(__xludf.DUMMYFUNCTION("regexreplace(lower(C1355), ""_"", """")"),"abrright")</f>
        <v>abrright</v>
      </c>
      <c r="J1355" s="9" t="b">
        <f t="shared" si="2"/>
        <v>1</v>
      </c>
      <c r="K1355" s="7" t="str">
        <f>IFERROR(__xludf.DUMMYFUNCTION("regexreplace(G1355, ""_"", """")"),"abrright")</f>
        <v>abrright</v>
      </c>
      <c r="L1355" s="70" t="s">
        <v>5235</v>
      </c>
      <c r="M1355" s="70" t="s">
        <v>5235</v>
      </c>
    </row>
    <row r="1356">
      <c r="A1356" s="70"/>
      <c r="B1356" s="68" t="s">
        <v>5153</v>
      </c>
      <c r="C1356" s="68" t="s">
        <v>5236</v>
      </c>
      <c r="D1356" s="68" t="s">
        <v>5216</v>
      </c>
      <c r="E1356" s="70" t="s">
        <v>5237</v>
      </c>
      <c r="F1356" s="71">
        <f t="shared" si="63"/>
        <v>2</v>
      </c>
      <c r="G1356" s="68" t="s">
        <v>5238</v>
      </c>
      <c r="H1356" s="70"/>
      <c r="I1356" s="7" t="str">
        <f>IFERROR(__xludf.DUMMYFUNCTION("regexreplace(lower(C1356), ""_"", """")"),"abrleft")</f>
        <v>abrleft</v>
      </c>
      <c r="J1356" s="9" t="b">
        <f t="shared" si="2"/>
        <v>1</v>
      </c>
      <c r="K1356" s="7" t="str">
        <f>IFERROR(__xludf.DUMMYFUNCTION("regexreplace(G1356, ""_"", """")"),"abrleft")</f>
        <v>abrleft</v>
      </c>
      <c r="L1356" s="70" t="s">
        <v>5239</v>
      </c>
      <c r="M1356" s="70" t="s">
        <v>5239</v>
      </c>
    </row>
    <row r="1357">
      <c r="A1357" s="70"/>
      <c r="B1357" s="68" t="s">
        <v>5153</v>
      </c>
      <c r="C1357" s="68" t="s">
        <v>5240</v>
      </c>
      <c r="D1357" s="68" t="s">
        <v>43</v>
      </c>
      <c r="E1357" s="70" t="s">
        <v>5241</v>
      </c>
      <c r="F1357" s="71">
        <f t="shared" si="63"/>
        <v>2</v>
      </c>
      <c r="G1357" s="68" t="s">
        <v>5242</v>
      </c>
      <c r="H1357" s="70"/>
      <c r="I1357" s="7" t="str">
        <f>IFERROR(__xludf.DUMMYFUNCTION("regexreplace(lower(C1357), ""_"", """")"),"hearingtestunknown")</f>
        <v>hearingtestunknown</v>
      </c>
      <c r="J1357" s="9" t="b">
        <f t="shared" si="2"/>
        <v>1</v>
      </c>
      <c r="K1357" s="7" t="str">
        <f>IFERROR(__xludf.DUMMYFUNCTION("regexreplace(G1357, ""_"", """")"),"hearingtestunknown")</f>
        <v>hearingtestunknown</v>
      </c>
      <c r="L1357" s="70" t="s">
        <v>5243</v>
      </c>
      <c r="M1357" s="70" t="s">
        <v>5243</v>
      </c>
    </row>
    <row r="1358">
      <c r="A1358" s="70"/>
      <c r="B1358" s="68" t="s">
        <v>5153</v>
      </c>
      <c r="C1358" s="68" t="s">
        <v>5244</v>
      </c>
      <c r="D1358" s="68" t="s">
        <v>5216</v>
      </c>
      <c r="E1358" s="70" t="s">
        <v>5245</v>
      </c>
      <c r="F1358" s="71">
        <f t="shared" si="63"/>
        <v>2</v>
      </c>
      <c r="G1358" s="68" t="s">
        <v>5246</v>
      </c>
      <c r="H1358" s="70"/>
      <c r="I1358" s="7" t="str">
        <f>IFERROR(__xludf.DUMMYFUNCTION("regexreplace(lower(C1358), ""_"", """")"),"hearingtestunknownright")</f>
        <v>hearingtestunknownright</v>
      </c>
      <c r="J1358" s="9" t="b">
        <f t="shared" si="2"/>
        <v>1</v>
      </c>
      <c r="K1358" s="7" t="str">
        <f>IFERROR(__xludf.DUMMYFUNCTION("regexreplace(G1358, ""_"", """")"),"hearingtestunknownright")</f>
        <v>hearingtestunknownright</v>
      </c>
      <c r="L1358" s="70" t="s">
        <v>5247</v>
      </c>
      <c r="M1358" s="70" t="s">
        <v>5247</v>
      </c>
    </row>
    <row r="1359">
      <c r="A1359" s="70"/>
      <c r="B1359" s="68" t="s">
        <v>5153</v>
      </c>
      <c r="C1359" s="68" t="s">
        <v>5248</v>
      </c>
      <c r="D1359" s="68" t="s">
        <v>5216</v>
      </c>
      <c r="E1359" s="70" t="s">
        <v>5249</v>
      </c>
      <c r="F1359" s="71">
        <f t="shared" si="63"/>
        <v>2</v>
      </c>
      <c r="G1359" s="68" t="s">
        <v>5250</v>
      </c>
      <c r="H1359" s="70"/>
      <c r="I1359" s="7" t="str">
        <f>IFERROR(__xludf.DUMMYFUNCTION("regexreplace(lower(C1359), ""_"", """")"),"hearingtestunknownleft")</f>
        <v>hearingtestunknownleft</v>
      </c>
      <c r="J1359" s="9" t="b">
        <f t="shared" si="2"/>
        <v>1</v>
      </c>
      <c r="K1359" s="7" t="str">
        <f>IFERROR(__xludf.DUMMYFUNCTION("regexreplace(G1359, ""_"", """")"),"hearingtestunknownleft")</f>
        <v>hearingtestunknownleft</v>
      </c>
      <c r="L1359" s="70" t="s">
        <v>5251</v>
      </c>
      <c r="M1359" s="70" t="s">
        <v>5251</v>
      </c>
    </row>
    <row r="1360">
      <c r="A1360" s="70"/>
      <c r="B1360" s="68" t="s">
        <v>5153</v>
      </c>
      <c r="C1360" s="68" t="s">
        <v>5252</v>
      </c>
      <c r="D1360" s="68" t="s">
        <v>5252</v>
      </c>
      <c r="E1360" s="70" t="s">
        <v>5253</v>
      </c>
      <c r="F1360" s="71">
        <f t="shared" si="63"/>
        <v>2</v>
      </c>
      <c r="G1360" s="68" t="s">
        <v>5254</v>
      </c>
      <c r="H1360" s="70"/>
      <c r="I1360" s="7" t="str">
        <f>IFERROR(__xludf.DUMMYFUNCTION("regexreplace(lower(C1360), ""_"", """")"),"hearingimpaired")</f>
        <v>hearingimpaired</v>
      </c>
      <c r="J1360" s="9" t="b">
        <f t="shared" si="2"/>
        <v>1</v>
      </c>
      <c r="K1360" s="7" t="str">
        <f>IFERROR(__xludf.DUMMYFUNCTION("regexreplace(G1360, ""_"", """")"),"hearingimpaired")</f>
        <v>hearingimpaired</v>
      </c>
      <c r="L1360" s="70" t="s">
        <v>5255</v>
      </c>
      <c r="M1360" s="70" t="s">
        <v>5255</v>
      </c>
    </row>
    <row r="1361">
      <c r="A1361" s="70"/>
      <c r="B1361" s="68" t="s">
        <v>5153</v>
      </c>
      <c r="C1361" s="68" t="s">
        <v>5256</v>
      </c>
      <c r="D1361" s="68" t="s">
        <v>5257</v>
      </c>
      <c r="E1361" s="70" t="s">
        <v>5258</v>
      </c>
      <c r="F1361" s="71">
        <f t="shared" si="63"/>
        <v>2</v>
      </c>
      <c r="G1361" s="68" t="s">
        <v>5259</v>
      </c>
      <c r="H1361" s="70"/>
      <c r="I1361" s="7" t="str">
        <f>IFERROR(__xludf.DUMMYFUNCTION("regexreplace(lower(C1361), ""_"", """")"),"hearingaidrequirement")</f>
        <v>hearingaidrequirement</v>
      </c>
      <c r="J1361" s="9" t="b">
        <f t="shared" si="2"/>
        <v>1</v>
      </c>
      <c r="K1361" s="7" t="str">
        <f>IFERROR(__xludf.DUMMYFUNCTION("regexreplace(G1361, ""_"", """")"),"hearingaidrequirement")</f>
        <v>hearingaidrequirement</v>
      </c>
      <c r="L1361" s="70" t="s">
        <v>5260</v>
      </c>
      <c r="M1361" s="70" t="s">
        <v>5260</v>
      </c>
    </row>
    <row r="1362">
      <c r="A1362" s="70"/>
      <c r="B1362" s="68" t="s">
        <v>5153</v>
      </c>
      <c r="C1362" s="68" t="s">
        <v>5261</v>
      </c>
      <c r="D1362" s="68" t="s">
        <v>5257</v>
      </c>
      <c r="E1362" s="70" t="s">
        <v>5262</v>
      </c>
      <c r="F1362" s="71">
        <f t="shared" si="63"/>
        <v>1</v>
      </c>
      <c r="G1362" s="68" t="s">
        <v>5263</v>
      </c>
      <c r="H1362" s="70"/>
      <c r="I1362" s="7" t="str">
        <f>IFERROR(__xludf.DUMMYFUNCTION("regexreplace(lower(C1362), ""_"", """")"),"hearingimplant")</f>
        <v>hearingimplant</v>
      </c>
      <c r="J1362" s="9" t="b">
        <f t="shared" si="2"/>
        <v>1</v>
      </c>
      <c r="K1362" s="7" t="str">
        <f>IFERROR(__xludf.DUMMYFUNCTION("regexreplace(G1362, ""_"", """")"),"hearingimplant")</f>
        <v>hearingimplant</v>
      </c>
      <c r="L1362" s="70"/>
      <c r="M1362" s="70" t="s">
        <v>5264</v>
      </c>
    </row>
    <row r="1363">
      <c r="A1363" s="68" t="s">
        <v>4607</v>
      </c>
      <c r="B1363" s="68" t="s">
        <v>5153</v>
      </c>
      <c r="C1363" s="68" t="s">
        <v>5265</v>
      </c>
      <c r="D1363" s="68" t="s">
        <v>5266</v>
      </c>
      <c r="E1363" s="70" t="s">
        <v>5265</v>
      </c>
      <c r="F1363" s="71">
        <f t="shared" si="63"/>
        <v>2</v>
      </c>
      <c r="G1363" s="68" t="s">
        <v>5265</v>
      </c>
      <c r="H1363" s="70"/>
      <c r="I1363" s="7" t="str">
        <f>IFERROR(__xludf.DUMMYFUNCTION("regexreplace(lower(C1363), ""_"", """")"),"swallowing")</f>
        <v>swallowing</v>
      </c>
      <c r="J1363" s="9" t="b">
        <f t="shared" si="2"/>
        <v>1</v>
      </c>
      <c r="K1363" s="7" t="str">
        <f>IFERROR(__xludf.DUMMYFUNCTION("regexreplace(G1363, ""_"", """")"),"swallowing")</f>
        <v>swallowing</v>
      </c>
      <c r="L1363" s="70" t="s">
        <v>5267</v>
      </c>
      <c r="M1363" s="70" t="s">
        <v>5267</v>
      </c>
    </row>
    <row r="1364">
      <c r="A1364" s="70"/>
      <c r="B1364" s="68" t="s">
        <v>5153</v>
      </c>
      <c r="C1364" s="68" t="s">
        <v>5268</v>
      </c>
      <c r="D1364" s="68" t="s">
        <v>43</v>
      </c>
      <c r="E1364" s="70" t="s">
        <v>5268</v>
      </c>
      <c r="F1364" s="71">
        <f t="shared" si="63"/>
        <v>2</v>
      </c>
      <c r="G1364" s="68" t="s">
        <v>5268</v>
      </c>
      <c r="H1364" s="70"/>
      <c r="I1364" s="7" t="str">
        <f>IFERROR(__xludf.DUMMYFUNCTION("regexreplace(lower(C1364), ""_"", """")"),"dysphagia")</f>
        <v>dysphagia</v>
      </c>
      <c r="J1364" s="9" t="b">
        <f t="shared" si="2"/>
        <v>1</v>
      </c>
      <c r="K1364" s="7" t="str">
        <f>IFERROR(__xludf.DUMMYFUNCTION("regexreplace(G1364, ""_"", """")"),"dysphagia")</f>
        <v>dysphagia</v>
      </c>
      <c r="L1364" s="70" t="s">
        <v>5269</v>
      </c>
      <c r="M1364" s="70" t="s">
        <v>5269</v>
      </c>
    </row>
    <row r="1365">
      <c r="A1365" s="70"/>
      <c r="B1365" s="68" t="s">
        <v>5153</v>
      </c>
      <c r="C1365" s="68" t="s">
        <v>5270</v>
      </c>
      <c r="D1365" s="68" t="s">
        <v>43</v>
      </c>
      <c r="E1365" s="70" t="s">
        <v>5271</v>
      </c>
      <c r="F1365" s="71">
        <f t="shared" si="63"/>
        <v>2</v>
      </c>
      <c r="G1365" s="68" t="s">
        <v>5270</v>
      </c>
      <c r="H1365" s="70"/>
      <c r="I1365" s="7" t="str">
        <f>IFERROR(__xludf.DUMMYFUNCTION("regexreplace(lower(C1365), ""_"", """")"),"aspiration")</f>
        <v>aspiration</v>
      </c>
      <c r="J1365" s="9" t="b">
        <f t="shared" si="2"/>
        <v>1</v>
      </c>
      <c r="K1365" s="7" t="str">
        <f>IFERROR(__xludf.DUMMYFUNCTION("regexreplace(G1365, ""_"", """")"),"aspiration")</f>
        <v>aspiration</v>
      </c>
      <c r="L1365" s="70" t="s">
        <v>5272</v>
      </c>
      <c r="M1365" s="70" t="s">
        <v>5272</v>
      </c>
    </row>
    <row r="1366">
      <c r="A1366" s="70"/>
      <c r="B1366" s="68" t="s">
        <v>5153</v>
      </c>
      <c r="C1366" s="68" t="s">
        <v>5273</v>
      </c>
      <c r="D1366" s="68" t="s">
        <v>43</v>
      </c>
      <c r="E1366" s="70" t="s">
        <v>5274</v>
      </c>
      <c r="F1366" s="71">
        <f t="shared" si="63"/>
        <v>2</v>
      </c>
      <c r="G1366" s="68" t="s">
        <v>5275</v>
      </c>
      <c r="H1366" s="70"/>
      <c r="I1366" s="7" t="str">
        <f>IFERROR(__xludf.DUMMYFUNCTION("regexreplace(lower(C1366), ""_"", """")"),"abnormalvoice")</f>
        <v>abnormalvoice</v>
      </c>
      <c r="J1366" s="9" t="b">
        <f t="shared" si="2"/>
        <v>1</v>
      </c>
      <c r="K1366" s="7" t="str">
        <f>IFERROR(__xludf.DUMMYFUNCTION("regexreplace(G1366, ""_"", """")"),"abnormalvoice")</f>
        <v>abnormalvoice</v>
      </c>
      <c r="L1366" s="72" t="s">
        <v>5276</v>
      </c>
      <c r="M1366" s="72" t="s">
        <v>5276</v>
      </c>
    </row>
    <row r="1367">
      <c r="A1367" s="70"/>
      <c r="B1367" s="68" t="s">
        <v>5153</v>
      </c>
      <c r="C1367" s="68" t="s">
        <v>5277</v>
      </c>
      <c r="D1367" s="68" t="s">
        <v>43</v>
      </c>
      <c r="E1367" s="70" t="s">
        <v>5277</v>
      </c>
      <c r="F1367" s="71">
        <f t="shared" si="63"/>
        <v>2</v>
      </c>
      <c r="G1367" s="68" t="s">
        <v>5277</v>
      </c>
      <c r="H1367" s="70"/>
      <c r="I1367" s="7" t="str">
        <f>IFERROR(__xludf.DUMMYFUNCTION("regexreplace(lower(C1367), ""_"", """")"),"drooling")</f>
        <v>drooling</v>
      </c>
      <c r="J1367" s="9" t="b">
        <f t="shared" si="2"/>
        <v>1</v>
      </c>
      <c r="K1367" s="7" t="str">
        <f>IFERROR(__xludf.DUMMYFUNCTION("regexreplace(G1367, ""_"", """")"),"drooling")</f>
        <v>drooling</v>
      </c>
      <c r="L1367" s="72" t="s">
        <v>5278</v>
      </c>
      <c r="M1367" s="72" t="s">
        <v>5278</v>
      </c>
    </row>
    <row r="1368">
      <c r="A1368" s="70"/>
      <c r="B1368" s="68" t="s">
        <v>5153</v>
      </c>
      <c r="C1368" s="68" t="s">
        <v>5279</v>
      </c>
      <c r="D1368" s="68" t="s">
        <v>43</v>
      </c>
      <c r="E1368" s="70" t="s">
        <v>5280</v>
      </c>
      <c r="F1368" s="71">
        <f t="shared" si="63"/>
        <v>2</v>
      </c>
      <c r="G1368" s="68" t="s">
        <v>5281</v>
      </c>
      <c r="H1368" s="70"/>
      <c r="I1368" s="7" t="str">
        <f>IFERROR(__xludf.DUMMYFUNCTION("regexreplace(lower(C1368), ""_"", """")"),"nothingbymouth")</f>
        <v>nothingbymouth</v>
      </c>
      <c r="J1368" s="9" t="b">
        <f t="shared" si="2"/>
        <v>1</v>
      </c>
      <c r="K1368" s="7" t="str">
        <f>IFERROR(__xludf.DUMMYFUNCTION("regexreplace(G1368, ""_"", """")"),"nothingbymouth")</f>
        <v>nothingbymouth</v>
      </c>
      <c r="L1368" s="72" t="s">
        <v>5282</v>
      </c>
      <c r="M1368" s="72" t="s">
        <v>5282</v>
      </c>
    </row>
    <row r="1369">
      <c r="A1369" s="68" t="s">
        <v>4607</v>
      </c>
      <c r="B1369" s="68" t="s">
        <v>5153</v>
      </c>
      <c r="C1369" s="68" t="s">
        <v>5283</v>
      </c>
      <c r="D1369" s="68" t="s">
        <v>43</v>
      </c>
      <c r="E1369" s="70" t="s">
        <v>5284</v>
      </c>
      <c r="F1369" s="71">
        <f t="shared" si="63"/>
        <v>2</v>
      </c>
      <c r="G1369" s="68" t="s">
        <v>5285</v>
      </c>
      <c r="H1369" s="70"/>
      <c r="I1369" s="7" t="str">
        <f>IFERROR(__xludf.DUMMYFUNCTION("regexreplace(lower(C1369), ""_"", """")"),"observedabnormalmovement")</f>
        <v>observedabnormalmovement</v>
      </c>
      <c r="J1369" s="9" t="b">
        <f t="shared" si="2"/>
        <v>1</v>
      </c>
      <c r="K1369" s="7" t="str">
        <f>IFERROR(__xludf.DUMMYFUNCTION("regexreplace(G1369, ""_"", """")"),"observedabnormalmovement")</f>
        <v>observedabnormalmovement</v>
      </c>
      <c r="L1369" s="70" t="s">
        <v>5286</v>
      </c>
      <c r="M1369" s="70" t="s">
        <v>5286</v>
      </c>
    </row>
    <row r="1370">
      <c r="A1370" s="70"/>
      <c r="B1370" s="68" t="s">
        <v>5153</v>
      </c>
      <c r="C1370" s="68" t="s">
        <v>5287</v>
      </c>
      <c r="D1370" s="68" t="s">
        <v>43</v>
      </c>
      <c r="E1370" s="70" t="s">
        <v>5288</v>
      </c>
      <c r="F1370" s="71">
        <f t="shared" si="63"/>
        <v>2</v>
      </c>
      <c r="G1370" s="68" t="s">
        <v>5289</v>
      </c>
      <c r="H1370" s="70"/>
      <c r="I1370" s="7" t="str">
        <f>IFERROR(__xludf.DUMMYFUNCTION("regexreplace(lower(C1370), ""_"", """")"),"observedabnormalmovementshortjerky")</f>
        <v>observedabnormalmovementshortjerky</v>
      </c>
      <c r="J1370" s="9" t="b">
        <f t="shared" si="2"/>
        <v>1</v>
      </c>
      <c r="K1370" s="7" t="str">
        <f>IFERROR(__xludf.DUMMYFUNCTION("regexreplace(G1370, ""_"", """")"),"observedabnormalmovementshortjerky")</f>
        <v>observedabnormalmovementshortjerky</v>
      </c>
      <c r="L1370" s="70" t="s">
        <v>5290</v>
      </c>
      <c r="M1370" s="70" t="s">
        <v>5290</v>
      </c>
    </row>
    <row r="1371">
      <c r="A1371" s="70"/>
      <c r="B1371" s="68" t="s">
        <v>5153</v>
      </c>
      <c r="C1371" s="68" t="s">
        <v>5291</v>
      </c>
      <c r="D1371" s="68" t="s">
        <v>43</v>
      </c>
      <c r="E1371" s="70" t="s">
        <v>5292</v>
      </c>
      <c r="F1371" s="71">
        <f t="shared" si="63"/>
        <v>2</v>
      </c>
      <c r="G1371" s="68" t="s">
        <v>5293</v>
      </c>
      <c r="H1371" s="70"/>
      <c r="I1371" s="7" t="str">
        <f>IFERROR(__xludf.DUMMYFUNCTION("regexreplace(lower(C1371), ""_"", """")"),"observedabnormalmovementslowwrithing")</f>
        <v>observedabnormalmovementslowwrithing</v>
      </c>
      <c r="J1371" s="9" t="b">
        <f t="shared" si="2"/>
        <v>1</v>
      </c>
      <c r="K1371" s="7" t="str">
        <f>IFERROR(__xludf.DUMMYFUNCTION("regexreplace(G1371, ""_"", """")"),"observedabnormalmovementslowwrithing")</f>
        <v>observedabnormalmovementslowwrithing</v>
      </c>
      <c r="L1371" s="70" t="s">
        <v>5294</v>
      </c>
      <c r="M1371" s="70" t="s">
        <v>5294</v>
      </c>
    </row>
    <row r="1372">
      <c r="A1372" s="70"/>
      <c r="B1372" s="68" t="s">
        <v>5153</v>
      </c>
      <c r="C1372" s="68" t="s">
        <v>5295</v>
      </c>
      <c r="D1372" s="68" t="s">
        <v>43</v>
      </c>
      <c r="E1372" s="70" t="s">
        <v>5296</v>
      </c>
      <c r="F1372" s="71">
        <f t="shared" si="63"/>
        <v>2</v>
      </c>
      <c r="G1372" s="68" t="s">
        <v>5297</v>
      </c>
      <c r="H1372" s="70"/>
      <c r="I1372" s="7" t="str">
        <f>IFERROR(__xludf.DUMMYFUNCTION("regexreplace(lower(C1372), ""_"", """")"),"observedabnormalmovementtremor")</f>
        <v>observedabnormalmovementtremor</v>
      </c>
      <c r="J1372" s="9" t="b">
        <f t="shared" si="2"/>
        <v>1</v>
      </c>
      <c r="K1372" s="7" t="str">
        <f>IFERROR(__xludf.DUMMYFUNCTION("regexreplace(G1372, ""_"", """")"),"observedabnormalmovementtremor")</f>
        <v>observedabnormalmovementtremor</v>
      </c>
      <c r="L1372" s="70" t="s">
        <v>5298</v>
      </c>
      <c r="M1372" s="70" t="s">
        <v>5298</v>
      </c>
    </row>
    <row r="1373">
      <c r="A1373" s="70"/>
      <c r="B1373" s="68" t="s">
        <v>5153</v>
      </c>
      <c r="C1373" s="68" t="s">
        <v>5299</v>
      </c>
      <c r="D1373" s="68" t="s">
        <v>5300</v>
      </c>
      <c r="E1373" s="70" t="s">
        <v>5301</v>
      </c>
      <c r="F1373" s="71">
        <f t="shared" si="63"/>
        <v>2</v>
      </c>
      <c r="G1373" s="68" t="s">
        <v>5302</v>
      </c>
      <c r="H1373" s="70"/>
      <c r="I1373" s="7" t="str">
        <f>IFERROR(__xludf.DUMMYFUNCTION("regexreplace(lower(C1373), ""_"", """")"),"passivemuscletonenecktrunk")</f>
        <v>passivemuscletonenecktrunk</v>
      </c>
      <c r="J1373" s="9" t="b">
        <f t="shared" si="2"/>
        <v>1</v>
      </c>
      <c r="K1373" s="7" t="str">
        <f>IFERROR(__xludf.DUMMYFUNCTION("regexreplace(G1373, ""_"", """")"),"passivemuscletonenecktrunk")</f>
        <v>passivemuscletonenecktrunk</v>
      </c>
      <c r="L1373" s="70" t="s">
        <v>5303</v>
      </c>
      <c r="M1373" s="70" t="s">
        <v>5303</v>
      </c>
    </row>
    <row r="1374">
      <c r="A1374" s="70"/>
      <c r="B1374" s="68" t="s">
        <v>5153</v>
      </c>
      <c r="C1374" s="68" t="s">
        <v>5304</v>
      </c>
      <c r="D1374" s="68" t="s">
        <v>5300</v>
      </c>
      <c r="E1374" s="70" t="s">
        <v>5305</v>
      </c>
      <c r="F1374" s="71">
        <f t="shared" si="63"/>
        <v>2</v>
      </c>
      <c r="G1374" s="68" t="s">
        <v>5306</v>
      </c>
      <c r="H1374" s="70"/>
      <c r="I1374" s="7" t="str">
        <f>IFERROR(__xludf.DUMMYFUNCTION("regexreplace(lower(C1374), ""_"", """")"),"upperextremitymuscletoneright")</f>
        <v>upperextremitymuscletoneright</v>
      </c>
      <c r="J1374" s="9" t="b">
        <f t="shared" si="2"/>
        <v>1</v>
      </c>
      <c r="K1374" s="7" t="str">
        <f>IFERROR(__xludf.DUMMYFUNCTION("regexreplace(G1374, ""_"", """")"),"upperextremitymuscletoneright")</f>
        <v>upperextremitymuscletoneright</v>
      </c>
      <c r="L1374" s="70" t="s">
        <v>5307</v>
      </c>
      <c r="M1374" s="70" t="s">
        <v>5307</v>
      </c>
    </row>
    <row r="1375">
      <c r="A1375" s="70"/>
      <c r="B1375" s="68" t="s">
        <v>5153</v>
      </c>
      <c r="C1375" s="68" t="s">
        <v>5308</v>
      </c>
      <c r="D1375" s="68" t="s">
        <v>5300</v>
      </c>
      <c r="E1375" s="70" t="s">
        <v>5309</v>
      </c>
      <c r="F1375" s="71">
        <f t="shared" si="63"/>
        <v>2</v>
      </c>
      <c r="G1375" s="68" t="s">
        <v>5310</v>
      </c>
      <c r="H1375" s="70"/>
      <c r="I1375" s="7" t="str">
        <f>IFERROR(__xludf.DUMMYFUNCTION("regexreplace(lower(C1375), ""_"", """")"),"upperextremitymuscletoneleft")</f>
        <v>upperextremitymuscletoneleft</v>
      </c>
      <c r="J1375" s="9" t="b">
        <f t="shared" si="2"/>
        <v>1</v>
      </c>
      <c r="K1375" s="7" t="str">
        <f>IFERROR(__xludf.DUMMYFUNCTION("regexreplace(G1375, ""_"", """")"),"upperextremitymuscletoneleft")</f>
        <v>upperextremitymuscletoneleft</v>
      </c>
      <c r="L1375" s="70" t="s">
        <v>5311</v>
      </c>
      <c r="M1375" s="70" t="s">
        <v>5311</v>
      </c>
    </row>
    <row r="1376">
      <c r="A1376" s="70"/>
      <c r="B1376" s="68" t="s">
        <v>5153</v>
      </c>
      <c r="C1376" s="68" t="s">
        <v>5312</v>
      </c>
      <c r="D1376" s="68" t="s">
        <v>5300</v>
      </c>
      <c r="E1376" s="70" t="s">
        <v>5313</v>
      </c>
      <c r="F1376" s="71">
        <f t="shared" si="63"/>
        <v>2</v>
      </c>
      <c r="G1376" s="68" t="s">
        <v>5314</v>
      </c>
      <c r="H1376" s="70"/>
      <c r="I1376" s="7" t="str">
        <f>IFERROR(__xludf.DUMMYFUNCTION("regexreplace(lower(C1376), ""_"", """")"),"lowerextremitymuscletonehipkneeright")</f>
        <v>lowerextremitymuscletonehipkneeright</v>
      </c>
      <c r="J1376" s="9" t="b">
        <f t="shared" si="2"/>
        <v>1</v>
      </c>
      <c r="K1376" s="7" t="str">
        <f>IFERROR(__xludf.DUMMYFUNCTION("regexreplace(G1376, ""_"", """")"),"lowerextremitymuscletonehipkneeright")</f>
        <v>lowerextremitymuscletonehipkneeright</v>
      </c>
      <c r="L1376" s="70" t="s">
        <v>5315</v>
      </c>
      <c r="M1376" s="70" t="s">
        <v>5315</v>
      </c>
    </row>
    <row r="1377">
      <c r="A1377" s="70"/>
      <c r="B1377" s="68" t="s">
        <v>5153</v>
      </c>
      <c r="C1377" s="68" t="s">
        <v>5316</v>
      </c>
      <c r="D1377" s="68" t="s">
        <v>5300</v>
      </c>
      <c r="E1377" s="70" t="s">
        <v>5317</v>
      </c>
      <c r="F1377" s="71">
        <f t="shared" si="63"/>
        <v>2</v>
      </c>
      <c r="G1377" s="68" t="s">
        <v>5318</v>
      </c>
      <c r="H1377" s="70"/>
      <c r="I1377" s="7" t="str">
        <f>IFERROR(__xludf.DUMMYFUNCTION("regexreplace(lower(C1377), ""_"", """")"),"lowerextremitymuscletonehipkneeleft")</f>
        <v>lowerextremitymuscletonehipkneeleft</v>
      </c>
      <c r="J1377" s="9" t="b">
        <f t="shared" si="2"/>
        <v>1</v>
      </c>
      <c r="K1377" s="7" t="str">
        <f>IFERROR(__xludf.DUMMYFUNCTION("regexreplace(G1377, ""_"", """")"),"lowerextremitymuscletonehipkneeleft")</f>
        <v>lowerextremitymuscletonehipkneeleft</v>
      </c>
      <c r="L1377" s="70" t="s">
        <v>5319</v>
      </c>
      <c r="M1377" s="70" t="s">
        <v>5319</v>
      </c>
    </row>
    <row r="1378">
      <c r="A1378" s="70"/>
      <c r="B1378" s="68" t="s">
        <v>5153</v>
      </c>
      <c r="C1378" s="68" t="s">
        <v>5320</v>
      </c>
      <c r="D1378" s="68" t="s">
        <v>5300</v>
      </c>
      <c r="E1378" s="70" t="s">
        <v>5321</v>
      </c>
      <c r="F1378" s="71">
        <f t="shared" si="63"/>
        <v>2</v>
      </c>
      <c r="G1378" s="68" t="s">
        <v>5322</v>
      </c>
      <c r="H1378" s="70"/>
      <c r="I1378" s="7" t="str">
        <f>IFERROR(__xludf.DUMMYFUNCTION("regexreplace(lower(C1378), ""_"", """")"),"lowerextremitymuscletoneankleright")</f>
        <v>lowerextremitymuscletoneankleright</v>
      </c>
      <c r="J1378" s="9" t="b">
        <f t="shared" si="2"/>
        <v>1</v>
      </c>
      <c r="K1378" s="7" t="str">
        <f>IFERROR(__xludf.DUMMYFUNCTION("regexreplace(G1378, ""_"", """")"),"lowerextremitymuscletoneankleright")</f>
        <v>lowerextremitymuscletoneankleright</v>
      </c>
      <c r="L1378" s="70" t="s">
        <v>5323</v>
      </c>
      <c r="M1378" s="70" t="s">
        <v>5323</v>
      </c>
    </row>
    <row r="1379">
      <c r="A1379" s="70"/>
      <c r="B1379" s="68" t="s">
        <v>5153</v>
      </c>
      <c r="C1379" s="68" t="s">
        <v>5324</v>
      </c>
      <c r="D1379" s="68" t="s">
        <v>5300</v>
      </c>
      <c r="E1379" s="70" t="s">
        <v>5325</v>
      </c>
      <c r="F1379" s="71">
        <f t="shared" si="63"/>
        <v>2</v>
      </c>
      <c r="G1379" s="68" t="s">
        <v>5326</v>
      </c>
      <c r="H1379" s="70"/>
      <c r="I1379" s="7" t="str">
        <f>IFERROR(__xludf.DUMMYFUNCTION("regexreplace(lower(C1379), ""_"", """")"),"lowerextremitymuscletoneankleleft")</f>
        <v>lowerextremitymuscletoneankleleft</v>
      </c>
      <c r="J1379" s="9" t="b">
        <f t="shared" si="2"/>
        <v>1</v>
      </c>
      <c r="K1379" s="7" t="str">
        <f>IFERROR(__xludf.DUMMYFUNCTION("regexreplace(G1379, ""_"", """")"),"lowerextremitymuscletoneankleleft")</f>
        <v>lowerextremitymuscletoneankleleft</v>
      </c>
      <c r="L1379" s="70" t="s">
        <v>5327</v>
      </c>
      <c r="M1379" s="70" t="s">
        <v>5327</v>
      </c>
    </row>
    <row r="1380">
      <c r="A1380" s="70"/>
      <c r="B1380" s="68" t="s">
        <v>5153</v>
      </c>
      <c r="C1380" s="68" t="s">
        <v>5328</v>
      </c>
      <c r="D1380" s="68" t="s">
        <v>43</v>
      </c>
      <c r="E1380" s="70" t="s">
        <v>5329</v>
      </c>
      <c r="F1380" s="71">
        <f t="shared" si="63"/>
        <v>2</v>
      </c>
      <c r="G1380" s="68" t="s">
        <v>5330</v>
      </c>
      <c r="H1380" s="70"/>
      <c r="I1380" s="7" t="str">
        <f>IFERROR(__xludf.DUMMYFUNCTION("regexreplace(lower(C1380), ""_"", """")"),"scissoringlegs")</f>
        <v>scissoringlegs</v>
      </c>
      <c r="J1380" s="9" t="b">
        <f t="shared" si="2"/>
        <v>1</v>
      </c>
      <c r="K1380" s="7" t="str">
        <f>IFERROR(__xludf.DUMMYFUNCTION("regexreplace(G1380, ""_"", """")"),"scissoringlegs")</f>
        <v>scissoringlegs</v>
      </c>
      <c r="L1380" s="70" t="s">
        <v>5331</v>
      </c>
      <c r="M1380" s="70" t="s">
        <v>5331</v>
      </c>
    </row>
    <row r="1381">
      <c r="A1381" s="70"/>
      <c r="B1381" s="68" t="s">
        <v>5153</v>
      </c>
      <c r="C1381" s="68" t="s">
        <v>5332</v>
      </c>
      <c r="D1381" s="68" t="s">
        <v>5332</v>
      </c>
      <c r="E1381" s="70" t="s">
        <v>5333</v>
      </c>
      <c r="F1381" s="71">
        <f t="shared" si="63"/>
        <v>2</v>
      </c>
      <c r="G1381" s="68" t="s">
        <v>5334</v>
      </c>
      <c r="H1381" s="70"/>
      <c r="I1381" s="7" t="str">
        <f>IFERROR(__xludf.DUMMYFUNCTION("regexreplace(lower(C1381), ""_"", """")"),"handpreference")</f>
        <v>handpreference</v>
      </c>
      <c r="J1381" s="9" t="b">
        <f t="shared" si="2"/>
        <v>1</v>
      </c>
      <c r="K1381" s="7" t="str">
        <f>IFERROR(__xludf.DUMMYFUNCTION("regexreplace(G1381, ""_"", """")"),"handpreference")</f>
        <v>handpreference</v>
      </c>
      <c r="L1381" s="70" t="s">
        <v>5335</v>
      </c>
      <c r="M1381" s="70" t="s">
        <v>5335</v>
      </c>
    </row>
    <row r="1382">
      <c r="A1382" s="70"/>
      <c r="B1382" s="68" t="s">
        <v>5153</v>
      </c>
      <c r="C1382" s="68" t="s">
        <v>5336</v>
      </c>
      <c r="D1382" s="68" t="s">
        <v>5336</v>
      </c>
      <c r="E1382" s="70" t="s">
        <v>5337</v>
      </c>
      <c r="F1382" s="71">
        <f t="shared" si="63"/>
        <v>2</v>
      </c>
      <c r="G1382" s="68" t="s">
        <v>5338</v>
      </c>
      <c r="H1382" s="70"/>
      <c r="I1382" s="7" t="str">
        <f>IFERROR(__xludf.DUMMYFUNCTION("regexreplace(lower(C1382), ""_"", """")"),"protectivereaction")</f>
        <v>protectivereaction</v>
      </c>
      <c r="J1382" s="9" t="b">
        <f t="shared" si="2"/>
        <v>1</v>
      </c>
      <c r="K1382" s="7" t="str">
        <f>IFERROR(__xludf.DUMMYFUNCTION("regexreplace(G1382, ""_"", """")"),"protectivereaction")</f>
        <v>protectivereaction</v>
      </c>
      <c r="L1382" s="70" t="s">
        <v>5339</v>
      </c>
      <c r="M1382" s="70" t="s">
        <v>5339</v>
      </c>
    </row>
    <row r="1383">
      <c r="A1383" s="70"/>
      <c r="B1383" s="68" t="s">
        <v>5153</v>
      </c>
      <c r="C1383" s="68" t="s">
        <v>5340</v>
      </c>
      <c r="D1383" s="68" t="s">
        <v>5341</v>
      </c>
      <c r="E1383" s="70" t="s">
        <v>5342</v>
      </c>
      <c r="F1383" s="71">
        <f t="shared" si="63"/>
        <v>2</v>
      </c>
      <c r="G1383" s="68" t="s">
        <v>5343</v>
      </c>
      <c r="H1383" s="70"/>
      <c r="I1383" s="7" t="str">
        <f>IFERROR(__xludf.DUMMYFUNCTION("regexreplace(lower(C1383), ""_"", """")"),"limbmovementupperlimb")</f>
        <v>limbmovementupperlimb</v>
      </c>
      <c r="J1383" s="9" t="b">
        <f t="shared" si="2"/>
        <v>1</v>
      </c>
      <c r="K1383" s="7" t="str">
        <f>IFERROR(__xludf.DUMMYFUNCTION("regexreplace(G1383, ""_"", """")"),"limbmovementupperlimb")</f>
        <v>limbmovementupperlimb</v>
      </c>
      <c r="L1383" s="70" t="s">
        <v>5344</v>
      </c>
      <c r="M1383" s="70" t="s">
        <v>5344</v>
      </c>
    </row>
    <row r="1384">
      <c r="A1384" s="70"/>
      <c r="B1384" s="68" t="s">
        <v>5153</v>
      </c>
      <c r="C1384" s="68" t="s">
        <v>5345</v>
      </c>
      <c r="D1384" s="68" t="s">
        <v>5341</v>
      </c>
      <c r="E1384" s="70" t="s">
        <v>5346</v>
      </c>
      <c r="F1384" s="71">
        <f t="shared" si="63"/>
        <v>2</v>
      </c>
      <c r="G1384" s="68" t="s">
        <v>5347</v>
      </c>
      <c r="H1384" s="70"/>
      <c r="I1384" s="7" t="str">
        <f>IFERROR(__xludf.DUMMYFUNCTION("regexreplace(lower(C1384), ""_"", """")"),"limbmovementlowerlimb")</f>
        <v>limbmovementlowerlimb</v>
      </c>
      <c r="J1384" s="9" t="b">
        <f t="shared" si="2"/>
        <v>1</v>
      </c>
      <c r="K1384" s="7" t="str">
        <f>IFERROR(__xludf.DUMMYFUNCTION("regexreplace(G1384, ""_"", """")"),"limbmovementlowerlimb")</f>
        <v>limbmovementlowerlimb</v>
      </c>
      <c r="L1384" s="70" t="s">
        <v>5348</v>
      </c>
      <c r="M1384" s="70" t="s">
        <v>5348</v>
      </c>
    </row>
    <row r="1385">
      <c r="A1385" s="70"/>
      <c r="B1385" s="68" t="s">
        <v>5153</v>
      </c>
      <c r="C1385" s="68" t="s">
        <v>5349</v>
      </c>
      <c r="D1385" s="68" t="s">
        <v>5350</v>
      </c>
      <c r="E1385" s="70" t="s">
        <v>5351</v>
      </c>
      <c r="F1385" s="71">
        <f t="shared" si="63"/>
        <v>2</v>
      </c>
      <c r="G1385" s="68" t="s">
        <v>5352</v>
      </c>
      <c r="H1385" s="70"/>
      <c r="I1385" s="7" t="str">
        <f>IFERROR(__xludf.DUMMYFUNCTION("regexreplace(lower(C1385), ""_"", """")"),"deeptendonreflexupperextremityright")</f>
        <v>deeptendonreflexupperextremityright</v>
      </c>
      <c r="J1385" s="9" t="b">
        <f t="shared" si="2"/>
        <v>1</v>
      </c>
      <c r="K1385" s="7" t="str">
        <f>IFERROR(__xludf.DUMMYFUNCTION("regexreplace(G1385, ""_"", """")"),"deeptendonreflexupperextremityright")</f>
        <v>deeptendonreflexupperextremityright</v>
      </c>
      <c r="L1385" s="70" t="s">
        <v>5353</v>
      </c>
      <c r="M1385" s="70" t="s">
        <v>5353</v>
      </c>
    </row>
    <row r="1386">
      <c r="A1386" s="70"/>
      <c r="B1386" s="68" t="s">
        <v>5153</v>
      </c>
      <c r="C1386" s="68" t="s">
        <v>5354</v>
      </c>
      <c r="D1386" s="68" t="s">
        <v>5350</v>
      </c>
      <c r="E1386" s="70" t="s">
        <v>5355</v>
      </c>
      <c r="F1386" s="71">
        <f t="shared" si="63"/>
        <v>2</v>
      </c>
      <c r="G1386" s="68" t="s">
        <v>5356</v>
      </c>
      <c r="H1386" s="70"/>
      <c r="I1386" s="7" t="str">
        <f>IFERROR(__xludf.DUMMYFUNCTION("regexreplace(lower(C1386), ""_"", """")"),"deeptendonreflexupperextremityleft")</f>
        <v>deeptendonreflexupperextremityleft</v>
      </c>
      <c r="J1386" s="9" t="b">
        <f t="shared" si="2"/>
        <v>1</v>
      </c>
      <c r="K1386" s="7" t="str">
        <f>IFERROR(__xludf.DUMMYFUNCTION("regexreplace(G1386, ""_"", """")"),"deeptendonreflexupperextremityleft")</f>
        <v>deeptendonreflexupperextremityleft</v>
      </c>
      <c r="L1386" s="70" t="s">
        <v>5357</v>
      </c>
      <c r="M1386" s="70" t="s">
        <v>5357</v>
      </c>
    </row>
    <row r="1387">
      <c r="A1387" s="70"/>
      <c r="B1387" s="68" t="s">
        <v>5153</v>
      </c>
      <c r="C1387" s="68" t="s">
        <v>5358</v>
      </c>
      <c r="D1387" s="68" t="s">
        <v>5350</v>
      </c>
      <c r="E1387" s="70" t="s">
        <v>5359</v>
      </c>
      <c r="F1387" s="71">
        <f t="shared" si="63"/>
        <v>2</v>
      </c>
      <c r="G1387" s="68" t="s">
        <v>5360</v>
      </c>
      <c r="H1387" s="70"/>
      <c r="I1387" s="7" t="str">
        <f>IFERROR(__xludf.DUMMYFUNCTION("regexreplace(lower(C1387), ""_"", """")"),"deeptendonreflexkneeright")</f>
        <v>deeptendonreflexkneeright</v>
      </c>
      <c r="J1387" s="9" t="b">
        <f t="shared" si="2"/>
        <v>1</v>
      </c>
      <c r="K1387" s="7" t="str">
        <f>IFERROR(__xludf.DUMMYFUNCTION("regexreplace(G1387, ""_"", """")"),"deeptendonreflexkneeright")</f>
        <v>deeptendonreflexkneeright</v>
      </c>
      <c r="L1387" s="70" t="s">
        <v>5361</v>
      </c>
      <c r="M1387" s="70" t="s">
        <v>5361</v>
      </c>
    </row>
    <row r="1388">
      <c r="A1388" s="70"/>
      <c r="B1388" s="68" t="s">
        <v>5153</v>
      </c>
      <c r="C1388" s="68" t="s">
        <v>5362</v>
      </c>
      <c r="D1388" s="68" t="s">
        <v>5350</v>
      </c>
      <c r="E1388" s="70" t="s">
        <v>5363</v>
      </c>
      <c r="F1388" s="71">
        <f t="shared" si="63"/>
        <v>2</v>
      </c>
      <c r="G1388" s="68" t="s">
        <v>5364</v>
      </c>
      <c r="H1388" s="70"/>
      <c r="I1388" s="7" t="str">
        <f>IFERROR(__xludf.DUMMYFUNCTION("regexreplace(lower(C1388), ""_"", """")"),"deeptendonreflexkneeleft")</f>
        <v>deeptendonreflexkneeleft</v>
      </c>
      <c r="J1388" s="9" t="b">
        <f t="shared" si="2"/>
        <v>1</v>
      </c>
      <c r="K1388" s="7" t="str">
        <f>IFERROR(__xludf.DUMMYFUNCTION("regexreplace(G1388, ""_"", """")"),"deeptendonreflexkneeleft")</f>
        <v>deeptendonreflexkneeleft</v>
      </c>
      <c r="L1388" s="70" t="s">
        <v>5365</v>
      </c>
      <c r="M1388" s="70" t="s">
        <v>5365</v>
      </c>
    </row>
    <row r="1389">
      <c r="A1389" s="70"/>
      <c r="B1389" s="68" t="s">
        <v>5153</v>
      </c>
      <c r="C1389" s="68" t="s">
        <v>5366</v>
      </c>
      <c r="D1389" s="68" t="s">
        <v>5350</v>
      </c>
      <c r="E1389" s="70" t="s">
        <v>5367</v>
      </c>
      <c r="F1389" s="71">
        <f t="shared" si="63"/>
        <v>2</v>
      </c>
      <c r="G1389" s="68" t="s">
        <v>5368</v>
      </c>
      <c r="H1389" s="70"/>
      <c r="I1389" s="7" t="str">
        <f>IFERROR(__xludf.DUMMYFUNCTION("regexreplace(lower(C1389), ""_"", """")"),"deeptendonreflexankleright")</f>
        <v>deeptendonreflexankleright</v>
      </c>
      <c r="J1389" s="9" t="b">
        <f t="shared" si="2"/>
        <v>1</v>
      </c>
      <c r="K1389" s="7" t="str">
        <f>IFERROR(__xludf.DUMMYFUNCTION("regexreplace(G1389, ""_"", """")"),"deeptendonreflexankleright")</f>
        <v>deeptendonreflexankleright</v>
      </c>
      <c r="L1389" s="70" t="s">
        <v>5369</v>
      </c>
      <c r="M1389" s="70" t="s">
        <v>5369</v>
      </c>
    </row>
    <row r="1390">
      <c r="A1390" s="70"/>
      <c r="B1390" s="68" t="s">
        <v>5153</v>
      </c>
      <c r="C1390" s="68" t="s">
        <v>5370</v>
      </c>
      <c r="D1390" s="68" t="s">
        <v>5350</v>
      </c>
      <c r="E1390" s="70" t="s">
        <v>5371</v>
      </c>
      <c r="F1390" s="71">
        <f t="shared" si="63"/>
        <v>2</v>
      </c>
      <c r="G1390" s="68" t="s">
        <v>5372</v>
      </c>
      <c r="H1390" s="70"/>
      <c r="I1390" s="7" t="str">
        <f>IFERROR(__xludf.DUMMYFUNCTION("regexreplace(lower(C1390), ""_"", """")"),"deeptendonreflexankleleft")</f>
        <v>deeptendonreflexankleleft</v>
      </c>
      <c r="J1390" s="9" t="b">
        <f t="shared" si="2"/>
        <v>1</v>
      </c>
      <c r="K1390" s="7" t="str">
        <f>IFERROR(__xludf.DUMMYFUNCTION("regexreplace(G1390, ""_"", """")"),"deeptendonreflexankleleft")</f>
        <v>deeptendonreflexankleleft</v>
      </c>
      <c r="L1390" s="70" t="s">
        <v>5373</v>
      </c>
      <c r="M1390" s="70" t="s">
        <v>5373</v>
      </c>
    </row>
    <row r="1391">
      <c r="A1391" s="70"/>
      <c r="B1391" s="68" t="s">
        <v>5153</v>
      </c>
      <c r="C1391" s="68" t="s">
        <v>5374</v>
      </c>
      <c r="D1391" s="68" t="s">
        <v>5375</v>
      </c>
      <c r="E1391" s="70" t="s">
        <v>5376</v>
      </c>
      <c r="F1391" s="71">
        <f t="shared" si="63"/>
        <v>2</v>
      </c>
      <c r="G1391" s="68" t="s">
        <v>5377</v>
      </c>
      <c r="H1391" s="70"/>
      <c r="I1391" s="7" t="str">
        <f>IFERROR(__xludf.DUMMYFUNCTION("regexreplace(lower(C1391), ""_"", """")"),"ankleclonusright")</f>
        <v>ankleclonusright</v>
      </c>
      <c r="J1391" s="9" t="b">
        <f t="shared" si="2"/>
        <v>1</v>
      </c>
      <c r="K1391" s="7" t="str">
        <f>IFERROR(__xludf.DUMMYFUNCTION("regexreplace(G1391, ""_"", """")"),"ankleclonusright")</f>
        <v>ankleclonusright</v>
      </c>
      <c r="L1391" s="70" t="s">
        <v>5378</v>
      </c>
      <c r="M1391" s="70" t="s">
        <v>5378</v>
      </c>
    </row>
    <row r="1392">
      <c r="A1392" s="70"/>
      <c r="B1392" s="68" t="s">
        <v>5153</v>
      </c>
      <c r="C1392" s="68" t="s">
        <v>5379</v>
      </c>
      <c r="D1392" s="68" t="s">
        <v>5375</v>
      </c>
      <c r="E1392" s="70" t="s">
        <v>5380</v>
      </c>
      <c r="F1392" s="71">
        <f t="shared" si="63"/>
        <v>2</v>
      </c>
      <c r="G1392" s="68" t="s">
        <v>5381</v>
      </c>
      <c r="H1392" s="70"/>
      <c r="I1392" s="7" t="str">
        <f>IFERROR(__xludf.DUMMYFUNCTION("regexreplace(lower(C1392), ""_"", """")"),"ankleclonusleft")</f>
        <v>ankleclonusleft</v>
      </c>
      <c r="J1392" s="9" t="b">
        <f t="shared" si="2"/>
        <v>1</v>
      </c>
      <c r="K1392" s="7" t="str">
        <f>IFERROR(__xludf.DUMMYFUNCTION("regexreplace(G1392, ""_"", """")"),"ankleclonusleft")</f>
        <v>ankleclonusleft</v>
      </c>
      <c r="L1392" s="70" t="s">
        <v>5382</v>
      </c>
      <c r="M1392" s="70" t="s">
        <v>5382</v>
      </c>
    </row>
    <row r="1393">
      <c r="A1393" s="70"/>
      <c r="B1393" s="68" t="s">
        <v>5153</v>
      </c>
      <c r="C1393" s="68" t="s">
        <v>5383</v>
      </c>
      <c r="D1393" s="68" t="s">
        <v>5384</v>
      </c>
      <c r="E1393" s="70" t="s">
        <v>5385</v>
      </c>
      <c r="F1393" s="71">
        <f t="shared" si="63"/>
        <v>2</v>
      </c>
      <c r="G1393" s="68" t="s">
        <v>5386</v>
      </c>
      <c r="H1393" s="70"/>
      <c r="I1393" s="7" t="str">
        <f>IFERROR(__xludf.DUMMYFUNCTION("regexreplace(lower(C1393), ""_"", """")"),"plantarreflexright")</f>
        <v>plantarreflexright</v>
      </c>
      <c r="J1393" s="9" t="b">
        <f t="shared" si="2"/>
        <v>1</v>
      </c>
      <c r="K1393" s="7" t="str">
        <f>IFERROR(__xludf.DUMMYFUNCTION("regexreplace(G1393, ""_"", """")"),"plantarreflexright")</f>
        <v>plantarreflexright</v>
      </c>
      <c r="L1393" s="70" t="s">
        <v>5387</v>
      </c>
      <c r="M1393" s="70" t="s">
        <v>5387</v>
      </c>
    </row>
    <row r="1394">
      <c r="A1394" s="70"/>
      <c r="B1394" s="68" t="s">
        <v>5153</v>
      </c>
      <c r="C1394" s="68" t="s">
        <v>5388</v>
      </c>
      <c r="D1394" s="68" t="s">
        <v>5384</v>
      </c>
      <c r="E1394" s="70" t="s">
        <v>5389</v>
      </c>
      <c r="F1394" s="71">
        <f t="shared" si="63"/>
        <v>2</v>
      </c>
      <c r="G1394" s="68" t="s">
        <v>5390</v>
      </c>
      <c r="H1394" s="70"/>
      <c r="I1394" s="7" t="str">
        <f>IFERROR(__xludf.DUMMYFUNCTION("regexreplace(lower(C1394), ""_"", """")"),"plantarreflexleft")</f>
        <v>plantarreflexleft</v>
      </c>
      <c r="J1394" s="9" t="b">
        <f t="shared" si="2"/>
        <v>1</v>
      </c>
      <c r="K1394" s="7" t="str">
        <f>IFERROR(__xludf.DUMMYFUNCTION("regexreplace(G1394, ""_"", """")"),"plantarreflexleft")</f>
        <v>plantarreflexleft</v>
      </c>
      <c r="L1394" s="70" t="s">
        <v>5391</v>
      </c>
      <c r="M1394" s="70" t="s">
        <v>5391</v>
      </c>
    </row>
    <row r="1395">
      <c r="A1395" s="12"/>
      <c r="B1395" s="12"/>
      <c r="C1395" s="13"/>
      <c r="D1395" s="12"/>
      <c r="E1395" s="12"/>
      <c r="F1395" s="14">
        <f t="shared" si="63"/>
        <v>0</v>
      </c>
      <c r="G1395" s="12" t="s">
        <v>913</v>
      </c>
      <c r="H1395" s="12"/>
      <c r="I1395" s="7" t="str">
        <f>IFERROR(__xludf.DUMMYFUNCTION("regexreplace(lower(C1395), ""_"", """")"),"")</f>
        <v/>
      </c>
      <c r="J1395" s="9" t="str">
        <f t="shared" si="2"/>
        <v/>
      </c>
      <c r="K1395" s="7" t="str">
        <f>IFERROR(__xludf.DUMMYFUNCTION("regexreplace(G1395, ""_"", """")"),"")</f>
        <v/>
      </c>
      <c r="L1395" s="12"/>
      <c r="M1395" s="12"/>
    </row>
    <row r="1396">
      <c r="A1396" s="68" t="s">
        <v>4607</v>
      </c>
      <c r="B1396" s="68" t="s">
        <v>5153</v>
      </c>
      <c r="C1396" s="68" t="s">
        <v>5392</v>
      </c>
      <c r="D1396" s="68" t="s">
        <v>5392</v>
      </c>
      <c r="E1396" s="70" t="s">
        <v>5393</v>
      </c>
      <c r="F1396" s="71">
        <f t="shared" si="63"/>
        <v>2</v>
      </c>
      <c r="G1396" s="68" t="s">
        <v>5394</v>
      </c>
      <c r="H1396" s="70"/>
      <c r="I1396" s="7" t="str">
        <f>IFERROR(__xludf.DUMMYFUNCTION("regexreplace(lower(C1396), ""_"", """")"),"axisheadneck")</f>
        <v>axisheadneck</v>
      </c>
      <c r="J1396" s="9" t="b">
        <f t="shared" si="2"/>
        <v>1</v>
      </c>
      <c r="K1396" s="7" t="str">
        <f>IFERROR(__xludf.DUMMYFUNCTION("regexreplace(G1396, ""_"", """")"),"axisheadneck")</f>
        <v>axisheadneck</v>
      </c>
      <c r="L1396" s="70" t="s">
        <v>5395</v>
      </c>
      <c r="M1396" s="70" t="s">
        <v>5395</v>
      </c>
    </row>
    <row r="1397">
      <c r="A1397" s="70"/>
      <c r="B1397" s="68" t="s">
        <v>5153</v>
      </c>
      <c r="C1397" s="68" t="s">
        <v>5396</v>
      </c>
      <c r="D1397" s="68" t="s">
        <v>5396</v>
      </c>
      <c r="E1397" s="70" t="s">
        <v>5397</v>
      </c>
      <c r="F1397" s="71">
        <f t="shared" si="63"/>
        <v>2</v>
      </c>
      <c r="G1397" s="68" t="s">
        <v>5398</v>
      </c>
      <c r="H1397" s="70"/>
      <c r="I1397" s="7" t="str">
        <f>IFERROR(__xludf.DUMMYFUNCTION("regexreplace(lower(C1397), ""_"", """")"),"axistrunk")</f>
        <v>axistrunk</v>
      </c>
      <c r="J1397" s="9" t="b">
        <f t="shared" si="2"/>
        <v>1</v>
      </c>
      <c r="K1397" s="7" t="str">
        <f>IFERROR(__xludf.DUMMYFUNCTION("regexreplace(G1397, ""_"", """")"),"axistrunk")</f>
        <v>axistrunk</v>
      </c>
      <c r="L1397" s="70" t="s">
        <v>5399</v>
      </c>
      <c r="M1397" s="70" t="s">
        <v>5399</v>
      </c>
    </row>
    <row r="1398">
      <c r="A1398" s="70"/>
      <c r="B1398" s="68" t="s">
        <v>5153</v>
      </c>
      <c r="C1398" s="68" t="s">
        <v>5400</v>
      </c>
      <c r="D1398" s="68" t="s">
        <v>5400</v>
      </c>
      <c r="E1398" s="70" t="s">
        <v>5401</v>
      </c>
      <c r="F1398" s="71">
        <f t="shared" si="63"/>
        <v>2</v>
      </c>
      <c r="G1398" s="68" t="s">
        <v>5402</v>
      </c>
      <c r="H1398" s="70"/>
      <c r="I1398" s="7" t="str">
        <f>IFERROR(__xludf.DUMMYFUNCTION("regexreplace(lower(C1398), ""_"", """")"),"lowerlimbfunction")</f>
        <v>lowerlimbfunction</v>
      </c>
      <c r="J1398" s="9" t="b">
        <f t="shared" si="2"/>
        <v>1</v>
      </c>
      <c r="K1398" s="7" t="str">
        <f>IFERROR(__xludf.DUMMYFUNCTION("regexreplace(G1398, ""_"", """")"),"lowerlimbfunction")</f>
        <v>lowerlimbfunction</v>
      </c>
      <c r="L1398" s="70" t="s">
        <v>5403</v>
      </c>
      <c r="M1398" s="70" t="s">
        <v>5403</v>
      </c>
    </row>
    <row r="1399">
      <c r="A1399" s="70"/>
      <c r="B1399" s="68" t="s">
        <v>5153</v>
      </c>
      <c r="C1399" s="68" t="s">
        <v>5404</v>
      </c>
      <c r="D1399" s="68" t="s">
        <v>5404</v>
      </c>
      <c r="E1399" s="70" t="s">
        <v>5405</v>
      </c>
      <c r="F1399" s="71">
        <f t="shared" si="63"/>
        <v>2</v>
      </c>
      <c r="G1399" s="68" t="s">
        <v>5406</v>
      </c>
      <c r="H1399" s="70"/>
      <c r="I1399" s="7" t="str">
        <f>IFERROR(__xludf.DUMMYFUNCTION("regexreplace(lower(C1399), ""_"", """")"),"upperlimbfunction")</f>
        <v>upperlimbfunction</v>
      </c>
      <c r="J1399" s="9" t="b">
        <f t="shared" si="2"/>
        <v>1</v>
      </c>
      <c r="K1399" s="7" t="str">
        <f>IFERROR(__xludf.DUMMYFUNCTION("regexreplace(G1399, ""_"", """")"),"upperlimbfunction")</f>
        <v>upperlimbfunction</v>
      </c>
      <c r="L1399" s="70" t="s">
        <v>5407</v>
      </c>
      <c r="M1399" s="70" t="s">
        <v>5407</v>
      </c>
    </row>
    <row r="1400">
      <c r="A1400" s="70"/>
      <c r="B1400" s="68" t="s">
        <v>5153</v>
      </c>
      <c r="C1400" s="68" t="s">
        <v>5408</v>
      </c>
      <c r="D1400" s="68" t="s">
        <v>5409</v>
      </c>
      <c r="E1400" s="70" t="s">
        <v>5410</v>
      </c>
      <c r="F1400" s="71">
        <f t="shared" si="63"/>
        <v>2</v>
      </c>
      <c r="G1400" s="68" t="s">
        <v>5411</v>
      </c>
      <c r="H1400" s="70"/>
      <c r="I1400" s="7" t="str">
        <f>IFERROR(__xludf.DUMMYFUNCTION("regexreplace(lower(C1400), ""_"", """")"),"handfunctionright")</f>
        <v>handfunctionright</v>
      </c>
      <c r="J1400" s="9" t="b">
        <f t="shared" si="2"/>
        <v>1</v>
      </c>
      <c r="K1400" s="7" t="str">
        <f>IFERROR(__xludf.DUMMYFUNCTION("regexreplace(G1400, ""_"", """")"),"handfunctionright")</f>
        <v>handfunctionright</v>
      </c>
      <c r="L1400" s="70" t="s">
        <v>5412</v>
      </c>
      <c r="M1400" s="70" t="s">
        <v>5412</v>
      </c>
    </row>
    <row r="1401">
      <c r="A1401" s="70"/>
      <c r="B1401" s="68" t="s">
        <v>5153</v>
      </c>
      <c r="C1401" s="68" t="s">
        <v>5413</v>
      </c>
      <c r="D1401" s="68" t="s">
        <v>5409</v>
      </c>
      <c r="E1401" s="70" t="s">
        <v>5414</v>
      </c>
      <c r="F1401" s="71">
        <f t="shared" si="63"/>
        <v>2</v>
      </c>
      <c r="G1401" s="68" t="s">
        <v>5415</v>
      </c>
      <c r="H1401" s="70"/>
      <c r="I1401" s="7" t="str">
        <f>IFERROR(__xludf.DUMMYFUNCTION("regexreplace(lower(C1401), ""_"", """")"),"handfunctionleft")</f>
        <v>handfunctionleft</v>
      </c>
      <c r="J1401" s="9" t="b">
        <f t="shared" si="2"/>
        <v>1</v>
      </c>
      <c r="K1401" s="7" t="str">
        <f>IFERROR(__xludf.DUMMYFUNCTION("regexreplace(G1401, ""_"", """")"),"handfunctionleft")</f>
        <v>handfunctionleft</v>
      </c>
      <c r="L1401" s="70" t="s">
        <v>5416</v>
      </c>
      <c r="M1401" s="70" t="s">
        <v>5416</v>
      </c>
    </row>
    <row r="1402">
      <c r="A1402" s="12"/>
      <c r="B1402" s="12"/>
      <c r="C1402" s="13"/>
      <c r="D1402" s="12"/>
      <c r="E1402" s="12"/>
      <c r="F1402" s="14">
        <f t="shared" si="63"/>
        <v>0</v>
      </c>
      <c r="G1402" s="12" t="s">
        <v>913</v>
      </c>
      <c r="H1402" s="12"/>
      <c r="I1402" s="7" t="str">
        <f>IFERROR(__xludf.DUMMYFUNCTION("regexreplace(lower(C1402), ""_"", """")"),"")</f>
        <v/>
      </c>
      <c r="J1402" s="9" t="str">
        <f t="shared" si="2"/>
        <v/>
      </c>
      <c r="K1402" s="7" t="str">
        <f>IFERROR(__xludf.DUMMYFUNCTION("regexreplace(G1402, ""_"", """")"),"")</f>
        <v/>
      </c>
      <c r="L1402" s="12"/>
      <c r="M1402" s="12"/>
    </row>
    <row r="1403">
      <c r="A1403" s="68" t="s">
        <v>4607</v>
      </c>
      <c r="B1403" s="68" t="s">
        <v>5153</v>
      </c>
      <c r="C1403" s="68" t="s">
        <v>5417</v>
      </c>
      <c r="D1403" s="68" t="s">
        <v>43</v>
      </c>
      <c r="E1403" s="70" t="s">
        <v>5418</v>
      </c>
      <c r="F1403" s="71">
        <f t="shared" si="63"/>
        <v>2</v>
      </c>
      <c r="G1403" s="68" t="s">
        <v>5419</v>
      </c>
      <c r="H1403" s="70"/>
      <c r="I1403" s="7" t="str">
        <f>IFERROR(__xludf.DUMMYFUNCTION("regexreplace(lower(C1403), ""_"", """")"),"neuralnormal")</f>
        <v>neuralnormal</v>
      </c>
      <c r="J1403" s="9" t="b">
        <f t="shared" si="2"/>
        <v>1</v>
      </c>
      <c r="K1403" s="7" t="str">
        <f>IFERROR(__xludf.DUMMYFUNCTION("regexreplace(G1403, ""_"", """")"),"neuralnormal")</f>
        <v>neuralnormal</v>
      </c>
      <c r="L1403" s="70" t="s">
        <v>5420</v>
      </c>
      <c r="M1403" s="70" t="s">
        <v>5420</v>
      </c>
    </row>
    <row r="1404">
      <c r="A1404" s="70"/>
      <c r="B1404" s="68" t="s">
        <v>5153</v>
      </c>
      <c r="C1404" s="68" t="s">
        <v>5421</v>
      </c>
      <c r="D1404" s="68" t="s">
        <v>43</v>
      </c>
      <c r="E1404" s="70" t="s">
        <v>5422</v>
      </c>
      <c r="F1404" s="71">
        <f t="shared" si="63"/>
        <v>2</v>
      </c>
      <c r="G1404" s="68" t="s">
        <v>5423</v>
      </c>
      <c r="H1404" s="70"/>
      <c r="I1404" s="7" t="str">
        <f>IFERROR(__xludf.DUMMYFUNCTION("regexreplace(lower(C1404), ""_"", """")"),"generalizedhypotonia")</f>
        <v>generalizedhypotonia</v>
      </c>
      <c r="J1404" s="9" t="b">
        <f t="shared" si="2"/>
        <v>1</v>
      </c>
      <c r="K1404" s="7" t="str">
        <f>IFERROR(__xludf.DUMMYFUNCTION("regexreplace(G1404, ""_"", """")"),"generalizedhypotonia")</f>
        <v>generalizedhypotonia</v>
      </c>
      <c r="L1404" s="70" t="s">
        <v>5424</v>
      </c>
      <c r="M1404" s="70" t="s">
        <v>5424</v>
      </c>
    </row>
    <row r="1405">
      <c r="A1405" s="70"/>
      <c r="B1405" s="68" t="s">
        <v>5153</v>
      </c>
      <c r="C1405" s="68" t="s">
        <v>5425</v>
      </c>
      <c r="D1405" s="68" t="s">
        <v>43</v>
      </c>
      <c r="E1405" s="70" t="s">
        <v>5426</v>
      </c>
      <c r="F1405" s="71">
        <f t="shared" si="63"/>
        <v>2</v>
      </c>
      <c r="G1405" s="68" t="s">
        <v>5425</v>
      </c>
      <c r="H1405" s="70"/>
      <c r="I1405" s="7" t="str">
        <f>IFERROR(__xludf.DUMMYFUNCTION("regexreplace(lower(C1405), ""_"", """")"),"hypertonia")</f>
        <v>hypertonia</v>
      </c>
      <c r="J1405" s="9" t="b">
        <f t="shared" si="2"/>
        <v>1</v>
      </c>
      <c r="K1405" s="7" t="str">
        <f>IFERROR(__xludf.DUMMYFUNCTION("regexreplace(G1405, ""_"", """")"),"hypertonia")</f>
        <v>hypertonia</v>
      </c>
      <c r="L1405" s="70" t="s">
        <v>5427</v>
      </c>
      <c r="M1405" s="70" t="s">
        <v>5427</v>
      </c>
    </row>
    <row r="1406">
      <c r="A1406" s="70"/>
      <c r="B1406" s="68" t="s">
        <v>5153</v>
      </c>
      <c r="C1406" s="68" t="s">
        <v>5428</v>
      </c>
      <c r="D1406" s="68" t="s">
        <v>43</v>
      </c>
      <c r="E1406" s="70" t="s">
        <v>5429</v>
      </c>
      <c r="F1406" s="71">
        <f t="shared" si="63"/>
        <v>2</v>
      </c>
      <c r="G1406" s="68" t="s">
        <v>5430</v>
      </c>
      <c r="H1406" s="70"/>
      <c r="I1406" s="7" t="str">
        <f>IFERROR(__xludf.DUMMYFUNCTION("regexreplace(lower(C1406), ""_"", """")"),"neuralother")</f>
        <v>neuralother</v>
      </c>
      <c r="J1406" s="9" t="b">
        <f t="shared" si="2"/>
        <v>1</v>
      </c>
      <c r="K1406" s="7" t="str">
        <f>IFERROR(__xludf.DUMMYFUNCTION("regexreplace(G1406, ""_"", """")"),"neuralother")</f>
        <v>neuralother</v>
      </c>
      <c r="L1406" s="72" t="s">
        <v>5431</v>
      </c>
      <c r="M1406" s="70" t="s">
        <v>5431</v>
      </c>
    </row>
    <row r="1407">
      <c r="A1407" s="70"/>
      <c r="B1407" s="68" t="s">
        <v>5153</v>
      </c>
      <c r="C1407" s="68" t="s">
        <v>5432</v>
      </c>
      <c r="D1407" s="68" t="s">
        <v>19</v>
      </c>
      <c r="E1407" s="70" t="s">
        <v>5433</v>
      </c>
      <c r="F1407" s="71">
        <f t="shared" si="63"/>
        <v>2</v>
      </c>
      <c r="G1407" s="68" t="s">
        <v>5434</v>
      </c>
      <c r="H1407" s="70"/>
      <c r="I1407" s="7" t="str">
        <f>IFERROR(__xludf.DUMMYFUNCTION("regexreplace(lower(C1407), ""_"", """")"),"neuralothertext")</f>
        <v>neuralothertext</v>
      </c>
      <c r="J1407" s="9" t="b">
        <f t="shared" si="2"/>
        <v>1</v>
      </c>
      <c r="K1407" s="7" t="str">
        <f>IFERROR(__xludf.DUMMYFUNCTION("regexreplace(G1407, ""_"", """")"),"neuralothertext")</f>
        <v>neuralothertext</v>
      </c>
      <c r="L1407" s="72" t="s">
        <v>5435</v>
      </c>
      <c r="M1407" s="70" t="s">
        <v>5435</v>
      </c>
    </row>
    <row r="1408">
      <c r="A1408" s="70"/>
      <c r="B1408" s="68" t="s">
        <v>5153</v>
      </c>
      <c r="C1408" s="68" t="s">
        <v>5436</v>
      </c>
      <c r="D1408" s="68" t="s">
        <v>43</v>
      </c>
      <c r="E1408" s="70" t="s">
        <v>5437</v>
      </c>
      <c r="F1408" s="71">
        <f t="shared" si="63"/>
        <v>2</v>
      </c>
      <c r="G1408" s="68" t="s">
        <v>5438</v>
      </c>
      <c r="H1408" s="68"/>
      <c r="I1408" s="7" t="str">
        <f>IFERROR(__xludf.DUMMYFUNCTION("regexreplace(lower(C1408), ""_"", """")"),"spasticdiplegia")</f>
        <v>spasticdiplegia</v>
      </c>
      <c r="J1408" s="9" t="b">
        <f t="shared" si="2"/>
        <v>1</v>
      </c>
      <c r="K1408" s="7" t="str">
        <f>IFERROR(__xludf.DUMMYFUNCTION("regexreplace(G1408, ""_"", """")"),"spasticdiplegia")</f>
        <v>spasticdiplegia</v>
      </c>
      <c r="L1408" s="70" t="s">
        <v>5439</v>
      </c>
      <c r="M1408" s="70" t="s">
        <v>5439</v>
      </c>
    </row>
    <row r="1409">
      <c r="A1409" s="70"/>
      <c r="B1409" s="68" t="s">
        <v>5153</v>
      </c>
      <c r="C1409" s="68" t="s">
        <v>5440</v>
      </c>
      <c r="D1409" s="68" t="s">
        <v>43</v>
      </c>
      <c r="E1409" s="70" t="s">
        <v>5441</v>
      </c>
      <c r="F1409" s="71">
        <f t="shared" si="63"/>
        <v>2</v>
      </c>
      <c r="G1409" s="68" t="s">
        <v>5442</v>
      </c>
      <c r="H1409" s="68"/>
      <c r="I1409" s="7" t="str">
        <f>IFERROR(__xludf.DUMMYFUNCTION("regexreplace(lower(C1409), ""_"", """")"),"spastichemiplegiaright")</f>
        <v>spastichemiplegiaright</v>
      </c>
      <c r="J1409" s="9" t="b">
        <f t="shared" si="2"/>
        <v>1</v>
      </c>
      <c r="K1409" s="7" t="str">
        <f>IFERROR(__xludf.DUMMYFUNCTION("regexreplace(G1409, ""_"", """")"),"spastichemiplegiaright")</f>
        <v>spastichemiplegiaright</v>
      </c>
      <c r="L1409" s="70" t="s">
        <v>5443</v>
      </c>
      <c r="M1409" s="70" t="s">
        <v>5443</v>
      </c>
    </row>
    <row r="1410">
      <c r="A1410" s="70"/>
      <c r="B1410" s="68" t="s">
        <v>5153</v>
      </c>
      <c r="C1410" s="68" t="s">
        <v>5444</v>
      </c>
      <c r="D1410" s="68" t="s">
        <v>43</v>
      </c>
      <c r="E1410" s="70" t="s">
        <v>5445</v>
      </c>
      <c r="F1410" s="71">
        <f t="shared" si="63"/>
        <v>2</v>
      </c>
      <c r="G1410" s="68" t="s">
        <v>5446</v>
      </c>
      <c r="H1410" s="68"/>
      <c r="I1410" s="7" t="str">
        <f>IFERROR(__xludf.DUMMYFUNCTION("regexreplace(lower(C1410), ""_"", """")"),"spastichemiplegialeft")</f>
        <v>spastichemiplegialeft</v>
      </c>
      <c r="J1410" s="9" t="b">
        <f t="shared" si="2"/>
        <v>1</v>
      </c>
      <c r="K1410" s="7" t="str">
        <f>IFERROR(__xludf.DUMMYFUNCTION("regexreplace(G1410, ""_"", """")"),"spastichemiplegialeft")</f>
        <v>spastichemiplegialeft</v>
      </c>
      <c r="L1410" s="70" t="s">
        <v>5447</v>
      </c>
      <c r="M1410" s="70" t="s">
        <v>5447</v>
      </c>
    </row>
    <row r="1411">
      <c r="A1411" s="70"/>
      <c r="B1411" s="68" t="s">
        <v>5153</v>
      </c>
      <c r="C1411" s="68" t="s">
        <v>5448</v>
      </c>
      <c r="D1411" s="68" t="s">
        <v>43</v>
      </c>
      <c r="E1411" s="70" t="s">
        <v>5449</v>
      </c>
      <c r="F1411" s="71">
        <f t="shared" si="63"/>
        <v>2</v>
      </c>
      <c r="G1411" s="68" t="s">
        <v>5450</v>
      </c>
      <c r="H1411" s="68"/>
      <c r="I1411" s="7" t="str">
        <f>IFERROR(__xludf.DUMMYFUNCTION("regexreplace(lower(C1411), ""_"", """")"),"spasticquadriplegia")</f>
        <v>spasticquadriplegia</v>
      </c>
      <c r="J1411" s="9" t="b">
        <f t="shared" si="2"/>
        <v>1</v>
      </c>
      <c r="K1411" s="7" t="str">
        <f>IFERROR(__xludf.DUMMYFUNCTION("regexreplace(G1411, ""_"", """")"),"spasticquadriplegia")</f>
        <v>spasticquadriplegia</v>
      </c>
      <c r="L1411" s="70" t="s">
        <v>5451</v>
      </c>
      <c r="M1411" s="70" t="s">
        <v>5451</v>
      </c>
    </row>
    <row r="1412">
      <c r="A1412" s="70"/>
      <c r="B1412" s="68" t="s">
        <v>5153</v>
      </c>
      <c r="C1412" s="68" t="s">
        <v>5452</v>
      </c>
      <c r="D1412" s="68" t="s">
        <v>43</v>
      </c>
      <c r="E1412" s="70" t="s">
        <v>5453</v>
      </c>
      <c r="F1412" s="71">
        <f t="shared" si="63"/>
        <v>1</v>
      </c>
      <c r="G1412" s="68" t="s">
        <v>5454</v>
      </c>
      <c r="H1412" s="70"/>
      <c r="I1412" s="7" t="str">
        <f>IFERROR(__xludf.DUMMYFUNCTION("regexreplace(lower(C1412), ""_"", """")"),"spastictriplegia")</f>
        <v>spastictriplegia</v>
      </c>
      <c r="J1412" s="9" t="b">
        <f t="shared" si="2"/>
        <v>1</v>
      </c>
      <c r="K1412" s="7" t="str">
        <f>IFERROR(__xludf.DUMMYFUNCTION("regexreplace(G1412, ""_"", """")"),"spastictriplegia")</f>
        <v>spastictriplegia</v>
      </c>
      <c r="L1412" s="70" t="s">
        <v>5455</v>
      </c>
      <c r="M1412" s="70"/>
    </row>
    <row r="1413">
      <c r="A1413" s="70"/>
      <c r="B1413" s="68" t="s">
        <v>5153</v>
      </c>
      <c r="C1413" s="68" t="s">
        <v>5456</v>
      </c>
      <c r="D1413" s="68" t="s">
        <v>43</v>
      </c>
      <c r="E1413" s="70" t="s">
        <v>5457</v>
      </c>
      <c r="F1413" s="71">
        <f t="shared" si="63"/>
        <v>1</v>
      </c>
      <c r="G1413" s="68" t="s">
        <v>5456</v>
      </c>
      <c r="H1413" s="70"/>
      <c r="I1413" s="7" t="str">
        <f>IFERROR(__xludf.DUMMYFUNCTION("regexreplace(lower(C1413), ""_"", """")"),"dystonia")</f>
        <v>dystonia</v>
      </c>
      <c r="J1413" s="9" t="b">
        <f t="shared" si="2"/>
        <v>1</v>
      </c>
      <c r="K1413" s="7" t="str">
        <f>IFERROR(__xludf.DUMMYFUNCTION("regexreplace(G1413, ""_"", """")"),"dystonia")</f>
        <v>dystonia</v>
      </c>
      <c r="L1413" s="70"/>
      <c r="M1413" s="70" t="s">
        <v>5458</v>
      </c>
    </row>
    <row r="1414">
      <c r="A1414" s="70"/>
      <c r="B1414" s="68" t="s">
        <v>5153</v>
      </c>
      <c r="C1414" s="68" t="s">
        <v>5459</v>
      </c>
      <c r="D1414" s="68" t="s">
        <v>43</v>
      </c>
      <c r="E1414" s="70" t="s">
        <v>5460</v>
      </c>
      <c r="F1414" s="71">
        <f t="shared" si="63"/>
        <v>1</v>
      </c>
      <c r="G1414" s="68" t="s">
        <v>5459</v>
      </c>
      <c r="H1414" s="70"/>
      <c r="I1414" s="7" t="str">
        <f>IFERROR(__xludf.DUMMYFUNCTION("regexreplace(lower(C1414), ""_"", """")"),"athetosis")</f>
        <v>athetosis</v>
      </c>
      <c r="J1414" s="9" t="b">
        <f t="shared" si="2"/>
        <v>1</v>
      </c>
      <c r="K1414" s="7" t="str">
        <f>IFERROR(__xludf.DUMMYFUNCTION("regexreplace(G1414, ""_"", """")"),"athetosis")</f>
        <v>athetosis</v>
      </c>
      <c r="L1414" s="70"/>
      <c r="M1414" s="70" t="s">
        <v>5461</v>
      </c>
    </row>
    <row r="1415">
      <c r="A1415" s="70"/>
      <c r="B1415" s="68" t="s">
        <v>5153</v>
      </c>
      <c r="C1415" s="68" t="s">
        <v>5462</v>
      </c>
      <c r="D1415" s="68" t="s">
        <v>43</v>
      </c>
      <c r="E1415" s="70" t="s">
        <v>5463</v>
      </c>
      <c r="F1415" s="71">
        <f t="shared" si="63"/>
        <v>1</v>
      </c>
      <c r="G1415" s="68" t="s">
        <v>5464</v>
      </c>
      <c r="H1415" s="70"/>
      <c r="I1415" s="7" t="str">
        <f>IFERROR(__xludf.DUMMYFUNCTION("regexreplace(lower(C1415), ""_"", """")"),"athetosisdystonia")</f>
        <v>athetosisdystonia</v>
      </c>
      <c r="J1415" s="9" t="b">
        <f t="shared" si="2"/>
        <v>1</v>
      </c>
      <c r="K1415" s="7" t="str">
        <f>IFERROR(__xludf.DUMMYFUNCTION("regexreplace(G1415, ""_"", """")"),"athetosisdystonia")</f>
        <v>athetosisdystonia</v>
      </c>
      <c r="L1415" s="70" t="s">
        <v>5465</v>
      </c>
      <c r="M1415" s="70"/>
    </row>
    <row r="1416">
      <c r="A1416" s="70"/>
      <c r="B1416" s="68" t="s">
        <v>5153</v>
      </c>
      <c r="C1416" s="68" t="s">
        <v>5466</v>
      </c>
      <c r="D1416" s="68" t="s">
        <v>43</v>
      </c>
      <c r="E1416" s="70" t="s">
        <v>5467</v>
      </c>
      <c r="F1416" s="71">
        <f t="shared" si="63"/>
        <v>2</v>
      </c>
      <c r="G1416" s="68" t="s">
        <v>5468</v>
      </c>
      <c r="H1416" s="70"/>
      <c r="I1416" s="7" t="str">
        <f>IFERROR(__xludf.DUMMYFUNCTION("regexreplace(lower(C1416), ""_"", """")"),"hypotoniaataxia")</f>
        <v>hypotoniaataxia</v>
      </c>
      <c r="J1416" s="9" t="b">
        <f t="shared" si="2"/>
        <v>1</v>
      </c>
      <c r="K1416" s="7" t="str">
        <f>IFERROR(__xludf.DUMMYFUNCTION("regexreplace(G1416, ""_"", """")"),"hypotoniaataxia")</f>
        <v>hypotoniaataxia</v>
      </c>
      <c r="L1416" s="70" t="s">
        <v>5469</v>
      </c>
      <c r="M1416" s="70" t="s">
        <v>5470</v>
      </c>
    </row>
    <row r="1417">
      <c r="A1417" s="70"/>
      <c r="B1417" s="68" t="s">
        <v>5153</v>
      </c>
      <c r="C1417" s="68" t="s">
        <v>5471</v>
      </c>
      <c r="D1417" s="68" t="s">
        <v>43</v>
      </c>
      <c r="E1417" s="70" t="s">
        <v>5472</v>
      </c>
      <c r="F1417" s="71">
        <f t="shared" si="63"/>
        <v>1</v>
      </c>
      <c r="G1417" s="68" t="s">
        <v>5473</v>
      </c>
      <c r="H1417" s="70"/>
      <c r="I1417" s="7" t="str">
        <f>IFERROR(__xludf.DUMMYFUNCTION("regexreplace(lower(C1417), ""_"", """")"),"spasticmonoplegia")</f>
        <v>spasticmonoplegia</v>
      </c>
      <c r="J1417" s="9" t="b">
        <f t="shared" si="2"/>
        <v>1</v>
      </c>
      <c r="K1417" s="7" t="str">
        <f>IFERROR(__xludf.DUMMYFUNCTION("regexreplace(G1417, ""_"", """")"),"spasticmonoplegia")</f>
        <v>spasticmonoplegia</v>
      </c>
      <c r="L1417" s="70" t="s">
        <v>5474</v>
      </c>
      <c r="M1417" s="70"/>
    </row>
    <row r="1418">
      <c r="A1418" s="70"/>
      <c r="B1418" s="68" t="s">
        <v>5153</v>
      </c>
      <c r="C1418" s="68" t="s">
        <v>5475</v>
      </c>
      <c r="D1418" s="68" t="s">
        <v>43</v>
      </c>
      <c r="E1418" s="70" t="s">
        <v>5476</v>
      </c>
      <c r="F1418" s="71">
        <f t="shared" si="63"/>
        <v>1</v>
      </c>
      <c r="G1418" s="68" t="s">
        <v>5477</v>
      </c>
      <c r="H1418" s="70"/>
      <c r="I1418" s="7" t="str">
        <f>IFERROR(__xludf.DUMMYFUNCTION("regexreplace(lower(C1418), ""_"", """")"),"mixedcerebralpalsy")</f>
        <v>mixedcerebralpalsy</v>
      </c>
      <c r="J1418" s="9" t="b">
        <f t="shared" si="2"/>
        <v>1</v>
      </c>
      <c r="K1418" s="7" t="str">
        <f>IFERROR(__xludf.DUMMYFUNCTION("regexreplace(G1418, ""_"", """")"),"mixedcerebralpalsy")</f>
        <v>mixedcerebralpalsy</v>
      </c>
      <c r="L1418" s="70" t="s">
        <v>5478</v>
      </c>
      <c r="M1418" s="70"/>
    </row>
    <row r="1419">
      <c r="A1419" s="70"/>
      <c r="B1419" s="68" t="s">
        <v>5153</v>
      </c>
      <c r="C1419" s="68" t="s">
        <v>5479</v>
      </c>
      <c r="D1419" s="68" t="s">
        <v>43</v>
      </c>
      <c r="E1419" s="70" t="s">
        <v>5480</v>
      </c>
      <c r="F1419" s="71">
        <f t="shared" si="63"/>
        <v>2</v>
      </c>
      <c r="G1419" s="68" t="s">
        <v>5481</v>
      </c>
      <c r="H1419" s="70"/>
      <c r="I1419" s="7" t="str">
        <f>IFERROR(__xludf.DUMMYFUNCTION("regexreplace(lower(C1419), ""_"", """")"),"cerebralpalsyunclassified")</f>
        <v>cerebralpalsyunclassified</v>
      </c>
      <c r="J1419" s="9" t="b">
        <f t="shared" si="2"/>
        <v>1</v>
      </c>
      <c r="K1419" s="7" t="str">
        <f>IFERROR(__xludf.DUMMYFUNCTION("regexreplace(G1419, ""_"", """")"),"cerebralpalsyunclassified")</f>
        <v>cerebralpalsyunclassified</v>
      </c>
      <c r="L1419" s="70" t="s">
        <v>5482</v>
      </c>
      <c r="M1419" s="70" t="s">
        <v>5483</v>
      </c>
    </row>
    <row r="1420">
      <c r="A1420" s="70"/>
      <c r="B1420" s="68" t="s">
        <v>5153</v>
      </c>
      <c r="C1420" s="68" t="s">
        <v>5484</v>
      </c>
      <c r="D1420" s="68" t="s">
        <v>19</v>
      </c>
      <c r="E1420" s="70" t="s">
        <v>5485</v>
      </c>
      <c r="F1420" s="71">
        <f t="shared" si="63"/>
        <v>2</v>
      </c>
      <c r="G1420" s="68" t="s">
        <v>5486</v>
      </c>
      <c r="H1420" s="70"/>
      <c r="I1420" s="7" t="str">
        <f>IFERROR(__xludf.DUMMYFUNCTION("regexreplace(lower(C1420), ""_"", """")"),"cerebralpalsyunclassifiedtext")</f>
        <v>cerebralpalsyunclassifiedtext</v>
      </c>
      <c r="J1420" s="9" t="b">
        <f t="shared" si="2"/>
        <v>1</v>
      </c>
      <c r="K1420" s="7" t="str">
        <f>IFERROR(__xludf.DUMMYFUNCTION("regexreplace(G1420, ""_"", """")"),"cerebralpalsyunclassifiedtext")</f>
        <v>cerebralpalsyunclassifiedtext</v>
      </c>
      <c r="L1420" s="70" t="s">
        <v>5487</v>
      </c>
      <c r="M1420" s="70" t="s">
        <v>5488</v>
      </c>
    </row>
    <row r="1421">
      <c r="A1421" s="70"/>
      <c r="B1421" s="68" t="s">
        <v>5153</v>
      </c>
      <c r="C1421" s="68" t="s">
        <v>5489</v>
      </c>
      <c r="D1421" s="68" t="s">
        <v>43</v>
      </c>
      <c r="E1421" s="70" t="s">
        <v>5490</v>
      </c>
      <c r="F1421" s="71">
        <f t="shared" si="63"/>
        <v>2</v>
      </c>
      <c r="G1421" s="68" t="s">
        <v>5491</v>
      </c>
      <c r="H1421" s="70"/>
      <c r="I1421" s="7" t="str">
        <f>IFERROR(__xludf.DUMMYFUNCTION("regexreplace(lower(C1421), ""_"", """")"),"cerebralpalsy")</f>
        <v>cerebralpalsy</v>
      </c>
      <c r="J1421" s="9" t="b">
        <f t="shared" si="2"/>
        <v>1</v>
      </c>
      <c r="K1421" s="7" t="str">
        <f>IFERROR(__xludf.DUMMYFUNCTION("regexreplace(G1421, ""_"", """")"),"cerebralpalsy")</f>
        <v>cerebralpalsy</v>
      </c>
      <c r="L1421" s="70" t="s">
        <v>5492</v>
      </c>
      <c r="M1421" s="70" t="s">
        <v>5493</v>
      </c>
    </row>
    <row r="1422">
      <c r="A1422" s="70"/>
      <c r="B1422" s="68" t="s">
        <v>5153</v>
      </c>
      <c r="C1422" s="68" t="s">
        <v>5494</v>
      </c>
      <c r="D1422" s="68" t="s">
        <v>5494</v>
      </c>
      <c r="E1422" s="70" t="s">
        <v>5495</v>
      </c>
      <c r="F1422" s="71">
        <f t="shared" si="63"/>
        <v>2</v>
      </c>
      <c r="G1422" s="68" t="s">
        <v>5496</v>
      </c>
      <c r="H1422" s="68"/>
      <c r="I1422" s="7" t="str">
        <f>IFERROR(__xludf.DUMMYFUNCTION("regexreplace(lower(C1422), ""_"", """")"),"cerebralpalsyclass")</f>
        <v>cerebralpalsyclass</v>
      </c>
      <c r="J1422" s="9" t="b">
        <f t="shared" si="2"/>
        <v>1</v>
      </c>
      <c r="K1422" s="7" t="str">
        <f>IFERROR(__xludf.DUMMYFUNCTION("regexreplace(G1422, ""_"", """")"),"cerebralpalsyclass")</f>
        <v>cerebralpalsyclass</v>
      </c>
      <c r="L1422" s="70" t="s">
        <v>5497</v>
      </c>
      <c r="M1422" s="70" t="s">
        <v>5498</v>
      </c>
    </row>
    <row r="1423">
      <c r="A1423" s="70"/>
      <c r="B1423" s="68" t="s">
        <v>5153</v>
      </c>
      <c r="C1423" s="68" t="s">
        <v>5499</v>
      </c>
      <c r="D1423" s="68" t="s">
        <v>43</v>
      </c>
      <c r="E1423" s="70" t="s">
        <v>5500</v>
      </c>
      <c r="F1423" s="71">
        <f t="shared" si="63"/>
        <v>2</v>
      </c>
      <c r="G1423" s="68" t="s">
        <v>5501</v>
      </c>
      <c r="H1423" s="70"/>
      <c r="I1423" s="7" t="str">
        <f>IFERROR(__xludf.DUMMYFUNCTION("regexreplace(lower(C1423), ""_"", """")"),"abrnomalityaffectingneuroassessment")</f>
        <v>abrnomalityaffectingneuroassessment</v>
      </c>
      <c r="J1423" s="9" t="b">
        <f t="shared" si="2"/>
        <v>1</v>
      </c>
      <c r="K1423" s="7" t="str">
        <f>IFERROR(__xludf.DUMMYFUNCTION("regexreplace(G1423, ""_"", """")"),"abrnomalityaffectingneuroassessment")</f>
        <v>abrnomalityaffectingneuroassessment</v>
      </c>
      <c r="L1423" s="70" t="s">
        <v>5502</v>
      </c>
      <c r="M1423" s="70" t="s">
        <v>5502</v>
      </c>
    </row>
    <row r="1424">
      <c r="A1424" s="70"/>
      <c r="B1424" s="68" t="s">
        <v>5153</v>
      </c>
      <c r="C1424" s="68" t="s">
        <v>5503</v>
      </c>
      <c r="D1424" s="68" t="s">
        <v>19</v>
      </c>
      <c r="E1424" s="70" t="s">
        <v>5504</v>
      </c>
      <c r="F1424" s="71">
        <f t="shared" si="63"/>
        <v>2</v>
      </c>
      <c r="G1424" s="68" t="s">
        <v>5505</v>
      </c>
      <c r="H1424" s="70"/>
      <c r="I1424" s="7" t="str">
        <f>IFERROR(__xludf.DUMMYFUNCTION("regexreplace(lower(C1424), ""_"", """")"),"abrnomalityaffectingneuroassessmenttext")</f>
        <v>abrnomalityaffectingneuroassessmenttext</v>
      </c>
      <c r="J1424" s="9" t="b">
        <f t="shared" si="2"/>
        <v>1</v>
      </c>
      <c r="K1424" s="7" t="str">
        <f>IFERROR(__xludf.DUMMYFUNCTION("regexreplace(G1424, ""_"", """")"),"abrnomalityaffectingneuroassessmenttext")</f>
        <v>abrnomalityaffectingneuroassessmenttext</v>
      </c>
      <c r="L1424" s="70" t="s">
        <v>5506</v>
      </c>
      <c r="M1424" s="70" t="s">
        <v>5506</v>
      </c>
    </row>
    <row r="1425">
      <c r="A1425" s="68" t="s">
        <v>4607</v>
      </c>
      <c r="B1425" s="68" t="s">
        <v>5153</v>
      </c>
      <c r="C1425" s="68" t="s">
        <v>5507</v>
      </c>
      <c r="D1425" s="68" t="s">
        <v>4911</v>
      </c>
      <c r="E1425" s="70" t="s">
        <v>5508</v>
      </c>
      <c r="F1425" s="71">
        <f t="shared" si="63"/>
        <v>2</v>
      </c>
      <c r="G1425" s="68" t="s">
        <v>5509</v>
      </c>
      <c r="H1425" s="70"/>
      <c r="I1425" s="7" t="str">
        <f>IFERROR(__xludf.DUMMYFUNCTION("regexreplace(lower(C1425), ""_"", """")"),"examwhere")</f>
        <v>examwhere</v>
      </c>
      <c r="J1425" s="9" t="b">
        <f t="shared" si="2"/>
        <v>1</v>
      </c>
      <c r="K1425" s="7" t="str">
        <f>IFERROR(__xludf.DUMMYFUNCTION("regexreplace(G1425, ""_"", """")"),"examwhere")</f>
        <v>examwhere</v>
      </c>
      <c r="L1425" s="70" t="s">
        <v>5510</v>
      </c>
      <c r="M1425" s="70" t="s">
        <v>5510</v>
      </c>
    </row>
    <row r="1426">
      <c r="A1426" s="70"/>
      <c r="B1426" s="68" t="s">
        <v>5153</v>
      </c>
      <c r="C1426" s="68" t="s">
        <v>5511</v>
      </c>
      <c r="D1426" s="68" t="s">
        <v>19</v>
      </c>
      <c r="E1426" s="70" t="s">
        <v>5512</v>
      </c>
      <c r="F1426" s="71">
        <f t="shared" si="63"/>
        <v>2</v>
      </c>
      <c r="G1426" s="68" t="s">
        <v>5513</v>
      </c>
      <c r="H1426" s="70"/>
      <c r="I1426" s="7" t="str">
        <f>IFERROR(__xludf.DUMMYFUNCTION("regexreplace(lower(C1426), ""_"", """")"),"examwhereothertext")</f>
        <v>examwhereothertext</v>
      </c>
      <c r="J1426" s="9" t="b">
        <f t="shared" si="2"/>
        <v>1</v>
      </c>
      <c r="K1426" s="7" t="str">
        <f>IFERROR(__xludf.DUMMYFUNCTION("regexreplace(G1426, ""_"", """")"),"examwhereothertext")</f>
        <v>examwhereothertext</v>
      </c>
      <c r="L1426" s="72" t="s">
        <v>5514</v>
      </c>
      <c r="M1426" s="70" t="s">
        <v>5514</v>
      </c>
    </row>
    <row r="1427">
      <c r="A1427" s="70"/>
      <c r="B1427" s="68" t="s">
        <v>5153</v>
      </c>
      <c r="C1427" s="68" t="s">
        <v>5515</v>
      </c>
      <c r="D1427" s="68" t="s">
        <v>5515</v>
      </c>
      <c r="E1427" s="70" t="s">
        <v>5516</v>
      </c>
      <c r="F1427" s="71">
        <f t="shared" si="63"/>
        <v>2</v>
      </c>
      <c r="G1427" s="68" t="s">
        <v>5517</v>
      </c>
      <c r="H1427" s="70"/>
      <c r="I1427" s="7" t="str">
        <f>IFERROR(__xludf.DUMMYFUNCTION("regexreplace(lower(C1427), ""_"", """")"),"examquality")</f>
        <v>examquality</v>
      </c>
      <c r="J1427" s="9" t="b">
        <f t="shared" si="2"/>
        <v>1</v>
      </c>
      <c r="K1427" s="7" t="str">
        <f>IFERROR(__xludf.DUMMYFUNCTION("regexreplace(G1427, ""_"", """")"),"examquality")</f>
        <v>examquality</v>
      </c>
      <c r="L1427" s="70" t="s">
        <v>5518</v>
      </c>
      <c r="M1427" s="70" t="s">
        <v>5518</v>
      </c>
    </row>
    <row r="1428">
      <c r="A1428" s="70"/>
      <c r="B1428" s="68" t="s">
        <v>5153</v>
      </c>
      <c r="C1428" s="68" t="s">
        <v>5519</v>
      </c>
      <c r="D1428" s="68" t="s">
        <v>5519</v>
      </c>
      <c r="E1428" s="70" t="s">
        <v>5520</v>
      </c>
      <c r="F1428" s="71">
        <f t="shared" si="63"/>
        <v>2</v>
      </c>
      <c r="G1428" s="68" t="s">
        <v>5521</v>
      </c>
      <c r="H1428" s="70"/>
      <c r="I1428" s="7" t="str">
        <f>IFERROR(__xludf.DUMMYFUNCTION("regexreplace(lower(C1428), ""_"", """")"),"examfactoraffecting")</f>
        <v>examfactoraffecting</v>
      </c>
      <c r="J1428" s="9" t="b">
        <f t="shared" si="2"/>
        <v>1</v>
      </c>
      <c r="K1428" s="7" t="str">
        <f>IFERROR(__xludf.DUMMYFUNCTION("regexreplace(G1428, ""_"", """")"),"examfactoraffecting")</f>
        <v>examfactoraffecting</v>
      </c>
      <c r="L1428" s="70" t="s">
        <v>5522</v>
      </c>
      <c r="M1428" s="70" t="s">
        <v>5522</v>
      </c>
    </row>
    <row r="1429">
      <c r="A1429" s="70"/>
      <c r="B1429" s="68" t="s">
        <v>5153</v>
      </c>
      <c r="C1429" s="68" t="s">
        <v>5523</v>
      </c>
      <c r="D1429" s="68" t="s">
        <v>19</v>
      </c>
      <c r="E1429" s="70" t="s">
        <v>5524</v>
      </c>
      <c r="F1429" s="71">
        <f t="shared" si="63"/>
        <v>2</v>
      </c>
      <c r="G1429" s="68" t="s">
        <v>5525</v>
      </c>
      <c r="H1429" s="70"/>
      <c r="I1429" s="7" t="str">
        <f>IFERROR(__xludf.DUMMYFUNCTION("regexreplace(lower(C1429), ""_"", """")"),"examfactoraffectingtext")</f>
        <v>examfactoraffectingtext</v>
      </c>
      <c r="J1429" s="9" t="b">
        <f t="shared" si="2"/>
        <v>1</v>
      </c>
      <c r="K1429" s="7" t="str">
        <f>IFERROR(__xludf.DUMMYFUNCTION("regexreplace(G1429, ""_"", """")"),"examfactoraffectingtext")</f>
        <v>examfactoraffectingtext</v>
      </c>
      <c r="L1429" s="70" t="s">
        <v>5526</v>
      </c>
      <c r="M1429" s="70" t="s">
        <v>5526</v>
      </c>
    </row>
    <row r="1430">
      <c r="A1430" s="70"/>
      <c r="B1430" s="68" t="s">
        <v>5153</v>
      </c>
      <c r="C1430" s="68" t="s">
        <v>5527</v>
      </c>
      <c r="D1430" s="68" t="s">
        <v>29</v>
      </c>
      <c r="E1430" s="70" t="s">
        <v>5528</v>
      </c>
      <c r="F1430" s="71">
        <f t="shared" si="63"/>
        <v>2</v>
      </c>
      <c r="G1430" s="68" t="s">
        <v>5529</v>
      </c>
      <c r="H1430" s="70"/>
      <c r="I1430" s="7" t="str">
        <f>IFERROR(__xludf.DUMMYFUNCTION("regexreplace(lower(C1430), ""_"", """")"),"examcompletedate")</f>
        <v>examcompletedate</v>
      </c>
      <c r="J1430" s="9" t="b">
        <f t="shared" si="2"/>
        <v>1</v>
      </c>
      <c r="K1430" s="7" t="str">
        <f>IFERROR(__xludf.DUMMYFUNCTION("regexreplace(G1430, ""_"", """")"),"examcompletedate")</f>
        <v>examcompletedate</v>
      </c>
      <c r="L1430" s="70" t="s">
        <v>5530</v>
      </c>
      <c r="M1430" s="70" t="s">
        <v>5530</v>
      </c>
    </row>
    <row r="1431">
      <c r="A1431" s="12"/>
      <c r="B1431" s="12"/>
      <c r="C1431" s="13"/>
      <c r="D1431" s="12"/>
      <c r="E1431" s="12" t="s">
        <v>5531</v>
      </c>
      <c r="F1431" s="14">
        <f t="shared" si="63"/>
        <v>2</v>
      </c>
      <c r="G1431" s="12" t="s">
        <v>913</v>
      </c>
      <c r="H1431" s="12"/>
      <c r="I1431" s="7" t="str">
        <f>IFERROR(__xludf.DUMMYFUNCTION("regexreplace(lower(C1431), ""_"", """")"),"")</f>
        <v/>
      </c>
      <c r="J1431" s="9" t="str">
        <f t="shared" si="2"/>
        <v/>
      </c>
      <c r="K1431" s="7" t="str">
        <f>IFERROR(__xludf.DUMMYFUNCTION("regexreplace(G1431, ""_"", """")"),"")</f>
        <v/>
      </c>
      <c r="L1431" s="12" t="s">
        <v>5532</v>
      </c>
      <c r="M1431" s="12" t="s">
        <v>5532</v>
      </c>
    </row>
    <row r="1432">
      <c r="A1432" s="68" t="s">
        <v>4607</v>
      </c>
      <c r="B1432" s="68" t="s">
        <v>5533</v>
      </c>
      <c r="C1432" s="68" t="s">
        <v>5534</v>
      </c>
      <c r="D1432" s="68" t="s">
        <v>5534</v>
      </c>
      <c r="E1432" s="70" t="s">
        <v>5535</v>
      </c>
      <c r="F1432" s="71">
        <f t="shared" si="63"/>
        <v>2</v>
      </c>
      <c r="G1432" s="68" t="s">
        <v>5536</v>
      </c>
      <c r="H1432" s="70"/>
      <c r="I1432" s="7" t="str">
        <f>IFERROR(__xludf.DUMMYFUNCTION("regexreplace(lower(C1432), ""_"", """")"),"grossmotorfunctionlevel")</f>
        <v>grossmotorfunctionlevel</v>
      </c>
      <c r="J1432" s="9" t="b">
        <f t="shared" si="2"/>
        <v>1</v>
      </c>
      <c r="K1432" s="7" t="str">
        <f>IFERROR(__xludf.DUMMYFUNCTION("regexreplace(G1432, ""_"", """")"),"grossmotorfunctionlevel")</f>
        <v>grossmotorfunctionlevel</v>
      </c>
      <c r="L1432" s="70" t="s">
        <v>5537</v>
      </c>
      <c r="M1432" s="70" t="s">
        <v>5537</v>
      </c>
    </row>
    <row r="1433">
      <c r="A1433" s="12"/>
      <c r="B1433" s="12"/>
      <c r="C1433" s="13"/>
      <c r="D1433" s="12"/>
      <c r="E1433" s="12"/>
      <c r="F1433" s="14">
        <f t="shared" si="63"/>
        <v>0</v>
      </c>
      <c r="G1433" s="12" t="s">
        <v>913</v>
      </c>
      <c r="H1433" s="12"/>
      <c r="I1433" s="7" t="str">
        <f>IFERROR(__xludf.DUMMYFUNCTION("regexreplace(lower(C1433), ""_"", """")"),"")</f>
        <v/>
      </c>
      <c r="J1433" s="9" t="str">
        <f t="shared" si="2"/>
        <v/>
      </c>
      <c r="K1433" s="7" t="str">
        <f>IFERROR(__xludf.DUMMYFUNCTION("regexreplace(G1433, ""_"", """")"),"")</f>
        <v/>
      </c>
      <c r="L1433" s="12"/>
      <c r="M1433" s="12"/>
    </row>
    <row r="1434">
      <c r="A1434" s="68" t="s">
        <v>4607</v>
      </c>
      <c r="B1434" s="68" t="s">
        <v>5538</v>
      </c>
      <c r="C1434" s="68" t="s">
        <v>5539</v>
      </c>
      <c r="D1434" s="68" t="s">
        <v>43</v>
      </c>
      <c r="E1434" s="70" t="s">
        <v>5540</v>
      </c>
      <c r="F1434" s="71">
        <f t="shared" si="63"/>
        <v>2</v>
      </c>
      <c r="G1434" s="68" t="s">
        <v>5541</v>
      </c>
      <c r="H1434" s="70"/>
      <c r="I1434" s="7" t="str">
        <f>IFERROR(__xludf.DUMMYFUNCTION("regexreplace(lower(C1434), ""_"", """")"),"bayleyiiicognitivesubtest")</f>
        <v>bayleyiiicognitivesubtest</v>
      </c>
      <c r="J1434" s="9" t="b">
        <f t="shared" si="2"/>
        <v>1</v>
      </c>
      <c r="K1434" s="7" t="str">
        <f>IFERROR(__xludf.DUMMYFUNCTION("regexreplace(G1434, ""_"", """")"),"bayleyiiicognitivesubtest")</f>
        <v>bayleyiiicognitivesubtest</v>
      </c>
      <c r="L1434" s="70" t="s">
        <v>5542</v>
      </c>
      <c r="M1434" s="70" t="s">
        <v>5542</v>
      </c>
    </row>
    <row r="1435">
      <c r="A1435" s="70"/>
      <c r="B1435" s="68" t="s">
        <v>5538</v>
      </c>
      <c r="C1435" s="68" t="s">
        <v>5543</v>
      </c>
      <c r="D1435" s="68" t="s">
        <v>5544</v>
      </c>
      <c r="E1435" s="70" t="s">
        <v>5545</v>
      </c>
      <c r="F1435" s="71">
        <f t="shared" si="63"/>
        <v>2</v>
      </c>
      <c r="G1435" s="68" t="s">
        <v>5546</v>
      </c>
      <c r="H1435" s="70"/>
      <c r="I1435" s="7" t="str">
        <f>IFERROR(__xludf.DUMMYFUNCTION("regexreplace(lower(C1435), ""_"", """")"),"bayleyiiireasonnosuccesscognitivesubtest")</f>
        <v>bayleyiiireasonnosuccesscognitivesubtest</v>
      </c>
      <c r="J1435" s="9" t="b">
        <f t="shared" si="2"/>
        <v>1</v>
      </c>
      <c r="K1435" s="7" t="str">
        <f>IFERROR(__xludf.DUMMYFUNCTION("regexreplace(G1435, ""_"", """")"),"bayleyiiireasonnosuccesscognitivesubtest")</f>
        <v>bayleyiiireasonnosuccesscognitivesubtest</v>
      </c>
      <c r="L1435" s="70" t="s">
        <v>5547</v>
      </c>
      <c r="M1435" s="70" t="s">
        <v>5547</v>
      </c>
    </row>
    <row r="1436">
      <c r="A1436" s="70"/>
      <c r="B1436" s="68" t="s">
        <v>5538</v>
      </c>
      <c r="C1436" s="68" t="s">
        <v>5548</v>
      </c>
      <c r="D1436" s="68" t="s">
        <v>19</v>
      </c>
      <c r="E1436" s="70" t="s">
        <v>5549</v>
      </c>
      <c r="F1436" s="71">
        <f t="shared" si="63"/>
        <v>2</v>
      </c>
      <c r="G1436" s="68" t="s">
        <v>5550</v>
      </c>
      <c r="H1436" s="70"/>
      <c r="I1436" s="7" t="str">
        <f>IFERROR(__xludf.DUMMYFUNCTION("regexreplace(lower(C1436), ""_"", """")"),"bayleyiiireasonnosuccesscognitivesubtesttext")</f>
        <v>bayleyiiireasonnosuccesscognitivesubtesttext</v>
      </c>
      <c r="J1436" s="9" t="b">
        <f t="shared" si="2"/>
        <v>1</v>
      </c>
      <c r="K1436" s="7" t="str">
        <f>IFERROR(__xludf.DUMMYFUNCTION("regexreplace(G1436, ""_"", """")"),"bayleyiiireasonnosuccesscognitivesubtesttext")</f>
        <v>bayleyiiireasonnosuccesscognitivesubtesttext</v>
      </c>
      <c r="L1436" s="70" t="s">
        <v>5551</v>
      </c>
      <c r="M1436" s="70" t="s">
        <v>5551</v>
      </c>
    </row>
    <row r="1437">
      <c r="A1437" s="70"/>
      <c r="B1437" s="68" t="s">
        <v>5538</v>
      </c>
      <c r="C1437" s="68" t="s">
        <v>5552</v>
      </c>
      <c r="D1437" s="68" t="s">
        <v>43</v>
      </c>
      <c r="E1437" s="70" t="s">
        <v>5553</v>
      </c>
      <c r="F1437" s="71">
        <f t="shared" si="63"/>
        <v>2</v>
      </c>
      <c r="G1437" s="68" t="s">
        <v>5554</v>
      </c>
      <c r="H1437" s="70"/>
      <c r="I1437" s="7" t="str">
        <f>IFERROR(__xludf.DUMMYFUNCTION("regexreplace(lower(C1437), ""_"", """")"),"bayleyiiilanguagereceptivesubtest")</f>
        <v>bayleyiiilanguagereceptivesubtest</v>
      </c>
      <c r="J1437" s="9" t="b">
        <f t="shared" si="2"/>
        <v>1</v>
      </c>
      <c r="K1437" s="7" t="str">
        <f>IFERROR(__xludf.DUMMYFUNCTION("regexreplace(G1437, ""_"", """")"),"bayleyiiilanguagereceptivesubtest")</f>
        <v>bayleyiiilanguagereceptivesubtest</v>
      </c>
      <c r="L1437" s="70" t="s">
        <v>5555</v>
      </c>
      <c r="M1437" s="70" t="s">
        <v>5555</v>
      </c>
    </row>
    <row r="1438">
      <c r="A1438" s="70"/>
      <c r="B1438" s="68" t="s">
        <v>5538</v>
      </c>
      <c r="C1438" s="68" t="s">
        <v>5556</v>
      </c>
      <c r="D1438" s="68" t="s">
        <v>5544</v>
      </c>
      <c r="E1438" s="70" t="s">
        <v>5557</v>
      </c>
      <c r="F1438" s="71">
        <f t="shared" si="63"/>
        <v>2</v>
      </c>
      <c r="G1438" s="68" t="s">
        <v>5558</v>
      </c>
      <c r="H1438" s="70"/>
      <c r="I1438" s="7" t="str">
        <f>IFERROR(__xludf.DUMMYFUNCTION("regexreplace(lower(C1438), ""_"", """")"),"bayleyiiireasonnosuccesslanguagereceptivesubtest")</f>
        <v>bayleyiiireasonnosuccesslanguagereceptivesubtest</v>
      </c>
      <c r="J1438" s="9" t="b">
        <f t="shared" si="2"/>
        <v>1</v>
      </c>
      <c r="K1438" s="7" t="str">
        <f>IFERROR(__xludf.DUMMYFUNCTION("regexreplace(G1438, ""_"", """")"),"bayleyiiireasonnosuccesslanguagereceptivesubtest")</f>
        <v>bayleyiiireasonnosuccesslanguagereceptivesubtest</v>
      </c>
      <c r="L1438" s="70" t="s">
        <v>5559</v>
      </c>
      <c r="M1438" s="70" t="s">
        <v>5559</v>
      </c>
    </row>
    <row r="1439">
      <c r="A1439" s="70"/>
      <c r="B1439" s="68" t="s">
        <v>5538</v>
      </c>
      <c r="C1439" s="68" t="s">
        <v>5560</v>
      </c>
      <c r="D1439" s="68" t="s">
        <v>19</v>
      </c>
      <c r="E1439" s="70" t="s">
        <v>5561</v>
      </c>
      <c r="F1439" s="71">
        <f t="shared" si="63"/>
        <v>2</v>
      </c>
      <c r="G1439" s="68" t="s">
        <v>5562</v>
      </c>
      <c r="H1439" s="70"/>
      <c r="I1439" s="7" t="str">
        <f>IFERROR(__xludf.DUMMYFUNCTION("regexreplace(lower(C1439), ""_"", """")"),"bayleyiiireasonnosuccesslanguagereceptivesubtesttext")</f>
        <v>bayleyiiireasonnosuccesslanguagereceptivesubtesttext</v>
      </c>
      <c r="J1439" s="9" t="b">
        <f t="shared" si="2"/>
        <v>1</v>
      </c>
      <c r="K1439" s="7" t="str">
        <f>IFERROR(__xludf.DUMMYFUNCTION("regexreplace(G1439, ""_"", """")"),"bayleyiiireasonnosuccesslanguagereceptivesubtesttext")</f>
        <v>bayleyiiireasonnosuccesslanguagereceptivesubtesttext</v>
      </c>
      <c r="L1439" s="70" t="s">
        <v>5563</v>
      </c>
      <c r="M1439" s="70" t="s">
        <v>5563</v>
      </c>
    </row>
    <row r="1440">
      <c r="A1440" s="70"/>
      <c r="B1440" s="68" t="s">
        <v>5538</v>
      </c>
      <c r="C1440" s="68" t="s">
        <v>5564</v>
      </c>
      <c r="D1440" s="68" t="s">
        <v>43</v>
      </c>
      <c r="E1440" s="70" t="s">
        <v>5565</v>
      </c>
      <c r="F1440" s="71">
        <f t="shared" si="63"/>
        <v>2</v>
      </c>
      <c r="G1440" s="68" t="s">
        <v>5566</v>
      </c>
      <c r="H1440" s="70"/>
      <c r="I1440" s="7" t="str">
        <f>IFERROR(__xludf.DUMMYFUNCTION("regexreplace(lower(C1440), ""_"", """")"),"bayleyiiilanguageexpressivesubtest")</f>
        <v>bayleyiiilanguageexpressivesubtest</v>
      </c>
      <c r="J1440" s="9" t="b">
        <f t="shared" si="2"/>
        <v>1</v>
      </c>
      <c r="K1440" s="7" t="str">
        <f>IFERROR(__xludf.DUMMYFUNCTION("regexreplace(G1440, ""_"", """")"),"bayleyiiilanguageexpressivesubtest")</f>
        <v>bayleyiiilanguageexpressivesubtest</v>
      </c>
      <c r="L1440" s="70" t="s">
        <v>5567</v>
      </c>
      <c r="M1440" s="70" t="s">
        <v>5567</v>
      </c>
    </row>
    <row r="1441">
      <c r="A1441" s="70"/>
      <c r="B1441" s="68" t="s">
        <v>5538</v>
      </c>
      <c r="C1441" s="68" t="s">
        <v>5568</v>
      </c>
      <c r="D1441" s="68" t="s">
        <v>5544</v>
      </c>
      <c r="E1441" s="70" t="s">
        <v>5569</v>
      </c>
      <c r="F1441" s="71">
        <f t="shared" si="63"/>
        <v>2</v>
      </c>
      <c r="G1441" s="68" t="s">
        <v>5570</v>
      </c>
      <c r="H1441" s="70"/>
      <c r="I1441" s="7" t="str">
        <f>IFERROR(__xludf.DUMMYFUNCTION("regexreplace(lower(C1441), ""_"", """")"),"bayleyiiireasonnosuccesslanguageexpressivesubtest")</f>
        <v>bayleyiiireasonnosuccesslanguageexpressivesubtest</v>
      </c>
      <c r="J1441" s="9" t="b">
        <f t="shared" si="2"/>
        <v>1</v>
      </c>
      <c r="K1441" s="7" t="str">
        <f>IFERROR(__xludf.DUMMYFUNCTION("regexreplace(G1441, ""_"", """")"),"bayleyiiireasonnosuccesslanguageexpressivesubtest")</f>
        <v>bayleyiiireasonnosuccesslanguageexpressivesubtest</v>
      </c>
      <c r="L1441" s="70" t="s">
        <v>5571</v>
      </c>
      <c r="M1441" s="70" t="s">
        <v>5571</v>
      </c>
    </row>
    <row r="1442">
      <c r="A1442" s="70"/>
      <c r="B1442" s="68" t="s">
        <v>5538</v>
      </c>
      <c r="C1442" s="68" t="s">
        <v>5572</v>
      </c>
      <c r="D1442" s="68" t="s">
        <v>19</v>
      </c>
      <c r="E1442" s="70" t="s">
        <v>5573</v>
      </c>
      <c r="F1442" s="71">
        <f t="shared" si="63"/>
        <v>2</v>
      </c>
      <c r="G1442" s="68" t="s">
        <v>5574</v>
      </c>
      <c r="H1442" s="70"/>
      <c r="I1442" s="7" t="str">
        <f>IFERROR(__xludf.DUMMYFUNCTION("regexreplace(lower(C1442), ""_"", """")"),"bayleyiiireasonnosuccesslanguageexpressivesubtesttext")</f>
        <v>bayleyiiireasonnosuccesslanguageexpressivesubtesttext</v>
      </c>
      <c r="J1442" s="9" t="b">
        <f t="shared" si="2"/>
        <v>1</v>
      </c>
      <c r="K1442" s="7" t="str">
        <f>IFERROR(__xludf.DUMMYFUNCTION("regexreplace(G1442, ""_"", """")"),"bayleyiiireasonnosuccesslanguageexpressivesubtesttext")</f>
        <v>bayleyiiireasonnosuccesslanguageexpressivesubtesttext</v>
      </c>
      <c r="L1442" s="70" t="s">
        <v>5575</v>
      </c>
      <c r="M1442" s="70" t="s">
        <v>5575</v>
      </c>
    </row>
    <row r="1443">
      <c r="A1443" s="70"/>
      <c r="B1443" s="68" t="s">
        <v>5538</v>
      </c>
      <c r="C1443" s="68" t="s">
        <v>5576</v>
      </c>
      <c r="D1443" s="68" t="s">
        <v>43</v>
      </c>
      <c r="E1443" s="70" t="s">
        <v>5577</v>
      </c>
      <c r="F1443" s="71">
        <f t="shared" si="63"/>
        <v>2</v>
      </c>
      <c r="G1443" s="68" t="s">
        <v>5578</v>
      </c>
      <c r="H1443" s="70"/>
      <c r="I1443" s="7" t="str">
        <f>IFERROR(__xludf.DUMMYFUNCTION("regexreplace(lower(C1443), ""_"", """")"),"bayleyiiimotorfinesubtest")</f>
        <v>bayleyiiimotorfinesubtest</v>
      </c>
      <c r="J1443" s="9" t="b">
        <f t="shared" si="2"/>
        <v>1</v>
      </c>
      <c r="K1443" s="7" t="str">
        <f>IFERROR(__xludf.DUMMYFUNCTION("regexreplace(G1443, ""_"", """")"),"bayleyiiimotorfinesubtest")</f>
        <v>bayleyiiimotorfinesubtest</v>
      </c>
      <c r="L1443" s="70" t="s">
        <v>5579</v>
      </c>
      <c r="M1443" s="70" t="s">
        <v>5579</v>
      </c>
    </row>
    <row r="1444">
      <c r="A1444" s="70"/>
      <c r="B1444" s="68" t="s">
        <v>5538</v>
      </c>
      <c r="C1444" s="68" t="s">
        <v>5580</v>
      </c>
      <c r="D1444" s="68" t="s">
        <v>5544</v>
      </c>
      <c r="E1444" s="70" t="s">
        <v>5581</v>
      </c>
      <c r="F1444" s="71">
        <f t="shared" si="63"/>
        <v>2</v>
      </c>
      <c r="G1444" s="68" t="s">
        <v>5582</v>
      </c>
      <c r="H1444" s="70"/>
      <c r="I1444" s="7" t="str">
        <f>IFERROR(__xludf.DUMMYFUNCTION("regexreplace(lower(C1444), ""_"", """")"),"bayleyiiireasonnosuccessmotorfinesubtest")</f>
        <v>bayleyiiireasonnosuccessmotorfinesubtest</v>
      </c>
      <c r="J1444" s="9" t="b">
        <f t="shared" si="2"/>
        <v>1</v>
      </c>
      <c r="K1444" s="7" t="str">
        <f>IFERROR(__xludf.DUMMYFUNCTION("regexreplace(G1444, ""_"", """")"),"bayleyiiireasonnosuccessmotorfinesubtest")</f>
        <v>bayleyiiireasonnosuccessmotorfinesubtest</v>
      </c>
      <c r="L1444" s="70" t="s">
        <v>5583</v>
      </c>
      <c r="M1444" s="70" t="s">
        <v>5583</v>
      </c>
    </row>
    <row r="1445">
      <c r="A1445" s="70"/>
      <c r="B1445" s="68" t="s">
        <v>5538</v>
      </c>
      <c r="C1445" s="68" t="s">
        <v>5584</v>
      </c>
      <c r="D1445" s="68" t="s">
        <v>19</v>
      </c>
      <c r="E1445" s="70" t="s">
        <v>5585</v>
      </c>
      <c r="F1445" s="71">
        <f t="shared" si="63"/>
        <v>2</v>
      </c>
      <c r="G1445" s="68" t="s">
        <v>5586</v>
      </c>
      <c r="H1445" s="70"/>
      <c r="I1445" s="7" t="str">
        <f>IFERROR(__xludf.DUMMYFUNCTION("regexreplace(lower(C1445), ""_"", """")"),"bayleyiiireasonnosuccessmotorfinesubtesttext")</f>
        <v>bayleyiiireasonnosuccessmotorfinesubtesttext</v>
      </c>
      <c r="J1445" s="9" t="b">
        <f t="shared" si="2"/>
        <v>1</v>
      </c>
      <c r="K1445" s="7" t="str">
        <f>IFERROR(__xludf.DUMMYFUNCTION("regexreplace(G1445, ""_"", """")"),"bayleyiiireasonnosuccessmotorfinesubtesttext")</f>
        <v>bayleyiiireasonnosuccessmotorfinesubtesttext</v>
      </c>
      <c r="L1445" s="70" t="s">
        <v>5587</v>
      </c>
      <c r="M1445" s="70" t="s">
        <v>5587</v>
      </c>
    </row>
    <row r="1446">
      <c r="A1446" s="70"/>
      <c r="B1446" s="68" t="s">
        <v>5538</v>
      </c>
      <c r="C1446" s="68" t="s">
        <v>5588</v>
      </c>
      <c r="D1446" s="68" t="s">
        <v>43</v>
      </c>
      <c r="E1446" s="70" t="s">
        <v>5589</v>
      </c>
      <c r="F1446" s="71">
        <f t="shared" si="63"/>
        <v>2</v>
      </c>
      <c r="G1446" s="68" t="s">
        <v>5590</v>
      </c>
      <c r="H1446" s="70"/>
      <c r="I1446" s="7" t="str">
        <f>IFERROR(__xludf.DUMMYFUNCTION("regexreplace(lower(C1446), ""_"", """")"),"bayleyiiimotorgrosssubtest")</f>
        <v>bayleyiiimotorgrosssubtest</v>
      </c>
      <c r="J1446" s="9" t="b">
        <f t="shared" si="2"/>
        <v>1</v>
      </c>
      <c r="K1446" s="7" t="str">
        <f>IFERROR(__xludf.DUMMYFUNCTION("regexreplace(G1446, ""_"", """")"),"bayleyiiimotorgrosssubtest")</f>
        <v>bayleyiiimotorgrosssubtest</v>
      </c>
      <c r="L1446" s="70" t="s">
        <v>5591</v>
      </c>
      <c r="M1446" s="70" t="s">
        <v>5591</v>
      </c>
    </row>
    <row r="1447">
      <c r="A1447" s="70"/>
      <c r="B1447" s="68" t="s">
        <v>5538</v>
      </c>
      <c r="C1447" s="68" t="s">
        <v>5592</v>
      </c>
      <c r="D1447" s="68" t="s">
        <v>5544</v>
      </c>
      <c r="E1447" s="70" t="s">
        <v>5593</v>
      </c>
      <c r="F1447" s="71">
        <f t="shared" si="63"/>
        <v>2</v>
      </c>
      <c r="G1447" s="68" t="s">
        <v>5594</v>
      </c>
      <c r="H1447" s="70"/>
      <c r="I1447" s="7" t="str">
        <f>IFERROR(__xludf.DUMMYFUNCTION("regexreplace(lower(C1447), ""_"", """")"),"bayleyiiireasonnosuccessmotorgrosssubtest")</f>
        <v>bayleyiiireasonnosuccessmotorgrosssubtest</v>
      </c>
      <c r="J1447" s="9" t="b">
        <f t="shared" si="2"/>
        <v>1</v>
      </c>
      <c r="K1447" s="7" t="str">
        <f>IFERROR(__xludf.DUMMYFUNCTION("regexreplace(G1447, ""_"", """")"),"bayleyiiireasonnosuccessmotorgrosssubtest")</f>
        <v>bayleyiiireasonnosuccessmotorgrosssubtest</v>
      </c>
      <c r="L1447" s="70" t="s">
        <v>5595</v>
      </c>
      <c r="M1447" s="70" t="s">
        <v>5595</v>
      </c>
    </row>
    <row r="1448">
      <c r="A1448" s="70"/>
      <c r="B1448" s="68" t="s">
        <v>5538</v>
      </c>
      <c r="C1448" s="68" t="s">
        <v>5596</v>
      </c>
      <c r="D1448" s="68" t="s">
        <v>19</v>
      </c>
      <c r="E1448" s="70" t="s">
        <v>5597</v>
      </c>
      <c r="F1448" s="71">
        <f t="shared" si="63"/>
        <v>2</v>
      </c>
      <c r="G1448" s="68" t="s">
        <v>5598</v>
      </c>
      <c r="H1448" s="70"/>
      <c r="I1448" s="7" t="str">
        <f>IFERROR(__xludf.DUMMYFUNCTION("regexreplace(lower(C1448), ""_"", """")"),"bayleyiiireasonnosuccessmotorgrosssubtesttext")</f>
        <v>bayleyiiireasonnosuccessmotorgrosssubtesttext</v>
      </c>
      <c r="J1448" s="9" t="b">
        <f t="shared" si="2"/>
        <v>1</v>
      </c>
      <c r="K1448" s="7" t="str">
        <f>IFERROR(__xludf.DUMMYFUNCTION("regexreplace(G1448, ""_"", """")"),"bayleyiiireasonnosuccessmotorgrosssubtesttext")</f>
        <v>bayleyiiireasonnosuccessmotorgrosssubtesttext</v>
      </c>
      <c r="L1448" s="70" t="s">
        <v>5599</v>
      </c>
      <c r="M1448" s="70" t="s">
        <v>5599</v>
      </c>
    </row>
    <row r="1449">
      <c r="A1449" s="70"/>
      <c r="B1449" s="68" t="s">
        <v>5538</v>
      </c>
      <c r="C1449" s="68" t="s">
        <v>5600</v>
      </c>
      <c r="D1449" s="68" t="s">
        <v>34</v>
      </c>
      <c r="E1449" s="70" t="s">
        <v>5601</v>
      </c>
      <c r="F1449" s="71">
        <f t="shared" si="63"/>
        <v>2</v>
      </c>
      <c r="G1449" s="68" t="s">
        <v>5602</v>
      </c>
      <c r="H1449" s="70"/>
      <c r="I1449" s="7" t="str">
        <f>IFERROR(__xludf.DUMMYFUNCTION("regexreplace(lower(C1449), ""_"", """")"),"bayleyiiiadjustedageforcognitivetest")</f>
        <v>bayleyiiiadjustedageforcognitivetest</v>
      </c>
      <c r="J1449" s="9" t="b">
        <f t="shared" si="2"/>
        <v>1</v>
      </c>
      <c r="K1449" s="7" t="str">
        <f>IFERROR(__xludf.DUMMYFUNCTION("regexreplace(G1449, ""_"", """")"),"bayleyiiiadjustedageforcognitivetest")</f>
        <v>bayleyiiiadjustedageforcognitivetest</v>
      </c>
      <c r="L1449" s="70" t="s">
        <v>5603</v>
      </c>
      <c r="M1449" s="70" t="s">
        <v>5603</v>
      </c>
    </row>
    <row r="1450">
      <c r="A1450" s="70"/>
      <c r="B1450" s="68" t="s">
        <v>5538</v>
      </c>
      <c r="C1450" s="68" t="s">
        <v>5604</v>
      </c>
      <c r="D1450" s="68" t="s">
        <v>34</v>
      </c>
      <c r="E1450" s="70" t="s">
        <v>5605</v>
      </c>
      <c r="F1450" s="71">
        <f t="shared" si="63"/>
        <v>2</v>
      </c>
      <c r="G1450" s="68" t="s">
        <v>5606</v>
      </c>
      <c r="H1450" s="70"/>
      <c r="I1450" s="7" t="str">
        <f>IFERROR(__xludf.DUMMYFUNCTION("regexreplace(lower(C1450), ""_"", """")"),"bayleyiiiadjustedageforreceptivecommunication")</f>
        <v>bayleyiiiadjustedageforreceptivecommunication</v>
      </c>
      <c r="J1450" s="9" t="b">
        <f t="shared" si="2"/>
        <v>1</v>
      </c>
      <c r="K1450" s="7" t="str">
        <f>IFERROR(__xludf.DUMMYFUNCTION("regexreplace(G1450, ""_"", """")"),"bayleyiiiadjustedageforreceptivecommunication")</f>
        <v>bayleyiiiadjustedageforreceptivecommunication</v>
      </c>
      <c r="L1450" s="70" t="s">
        <v>5607</v>
      </c>
      <c r="M1450" s="70" t="s">
        <v>5607</v>
      </c>
    </row>
    <row r="1451">
      <c r="A1451" s="70"/>
      <c r="B1451" s="68" t="s">
        <v>5538</v>
      </c>
      <c r="C1451" s="68" t="s">
        <v>5608</v>
      </c>
      <c r="D1451" s="68" t="s">
        <v>34</v>
      </c>
      <c r="E1451" s="70" t="s">
        <v>5609</v>
      </c>
      <c r="F1451" s="71">
        <f t="shared" si="63"/>
        <v>2</v>
      </c>
      <c r="G1451" s="68" t="s">
        <v>5610</v>
      </c>
      <c r="H1451" s="70"/>
      <c r="I1451" s="7" t="str">
        <f>IFERROR(__xludf.DUMMYFUNCTION("regexreplace(lower(C1451), ""_"", """")"),"bayleyiiiadjustedageforexpressivecommunication")</f>
        <v>bayleyiiiadjustedageforexpressivecommunication</v>
      </c>
      <c r="J1451" s="9" t="b">
        <f t="shared" si="2"/>
        <v>1</v>
      </c>
      <c r="K1451" s="7" t="str">
        <f>IFERROR(__xludf.DUMMYFUNCTION("regexreplace(G1451, ""_"", """")"),"bayleyiiiadjustedageforexpressivecommunication")</f>
        <v>bayleyiiiadjustedageforexpressivecommunication</v>
      </c>
      <c r="L1451" s="70" t="s">
        <v>5611</v>
      </c>
      <c r="M1451" s="70" t="s">
        <v>5611</v>
      </c>
    </row>
    <row r="1452">
      <c r="A1452" s="70"/>
      <c r="B1452" s="68" t="s">
        <v>5538</v>
      </c>
      <c r="C1452" s="68" t="s">
        <v>5612</v>
      </c>
      <c r="D1452" s="68" t="s">
        <v>34</v>
      </c>
      <c r="E1452" s="70" t="s">
        <v>5613</v>
      </c>
      <c r="F1452" s="71">
        <f t="shared" si="63"/>
        <v>2</v>
      </c>
      <c r="G1452" s="68" t="s">
        <v>5614</v>
      </c>
      <c r="H1452" s="70"/>
      <c r="I1452" s="7" t="str">
        <f>IFERROR(__xludf.DUMMYFUNCTION("regexreplace(lower(C1452), ""_"", """")"),"bayleyiiiadjustedageformotorfinesubtest")</f>
        <v>bayleyiiiadjustedageformotorfinesubtest</v>
      </c>
      <c r="J1452" s="9" t="b">
        <f t="shared" si="2"/>
        <v>1</v>
      </c>
      <c r="K1452" s="7" t="str">
        <f>IFERROR(__xludf.DUMMYFUNCTION("regexreplace(G1452, ""_"", """")"),"bayleyiiiadjustedageformotorfinesubtest")</f>
        <v>bayleyiiiadjustedageformotorfinesubtest</v>
      </c>
      <c r="L1452" s="70" t="s">
        <v>5615</v>
      </c>
      <c r="M1452" s="70" t="s">
        <v>5615</v>
      </c>
    </row>
    <row r="1453">
      <c r="A1453" s="70"/>
      <c r="B1453" s="68" t="s">
        <v>5538</v>
      </c>
      <c r="C1453" s="68" t="s">
        <v>5616</v>
      </c>
      <c r="D1453" s="68" t="s">
        <v>34</v>
      </c>
      <c r="E1453" s="70" t="s">
        <v>5617</v>
      </c>
      <c r="F1453" s="71">
        <f t="shared" si="63"/>
        <v>2</v>
      </c>
      <c r="G1453" s="68" t="s">
        <v>5618</v>
      </c>
      <c r="H1453" s="70"/>
      <c r="I1453" s="7" t="str">
        <f>IFERROR(__xludf.DUMMYFUNCTION("regexreplace(lower(C1453), ""_"", """")"),"bayleyiiiadjustedageformotorgrosssubtest")</f>
        <v>bayleyiiiadjustedageformotorgrosssubtest</v>
      </c>
      <c r="J1453" s="9" t="b">
        <f t="shared" si="2"/>
        <v>1</v>
      </c>
      <c r="K1453" s="7" t="str">
        <f>IFERROR(__xludf.DUMMYFUNCTION("regexreplace(G1453, ""_"", """")"),"bayleyiiiadjustedageformotorgrosssubtest")</f>
        <v>bayleyiiiadjustedageformotorgrosssubtest</v>
      </c>
      <c r="L1453" s="70" t="s">
        <v>5619</v>
      </c>
      <c r="M1453" s="70" t="s">
        <v>5619</v>
      </c>
    </row>
    <row r="1454">
      <c r="A1454" s="68" t="s">
        <v>4607</v>
      </c>
      <c r="B1454" s="68" t="s">
        <v>5538</v>
      </c>
      <c r="C1454" s="68" t="s">
        <v>5620</v>
      </c>
      <c r="D1454" s="68" t="s">
        <v>34</v>
      </c>
      <c r="E1454" s="70" t="s">
        <v>5621</v>
      </c>
      <c r="F1454" s="71">
        <f t="shared" si="63"/>
        <v>2</v>
      </c>
      <c r="G1454" s="68" t="s">
        <v>5622</v>
      </c>
      <c r="H1454" s="70"/>
      <c r="I1454" s="7" t="str">
        <f>IFERROR(__xludf.DUMMYFUNCTION("regexreplace(lower(C1454), ""_"", """")"),"bayleyiiicognitiveraw")</f>
        <v>bayleyiiicognitiveraw</v>
      </c>
      <c r="J1454" s="9" t="b">
        <f t="shared" si="2"/>
        <v>1</v>
      </c>
      <c r="K1454" s="7" t="str">
        <f>IFERROR(__xludf.DUMMYFUNCTION("regexreplace(G1454, ""_"", """")"),"bayleyiiicognitiveraw")</f>
        <v>bayleyiiicognitiveraw</v>
      </c>
      <c r="L1454" s="70" t="s">
        <v>5623</v>
      </c>
      <c r="M1454" s="70" t="s">
        <v>5623</v>
      </c>
    </row>
    <row r="1455">
      <c r="A1455" s="70"/>
      <c r="B1455" s="68" t="s">
        <v>5538</v>
      </c>
      <c r="C1455" s="68" t="s">
        <v>5624</v>
      </c>
      <c r="D1455" s="68" t="s">
        <v>34</v>
      </c>
      <c r="E1455" s="70" t="s">
        <v>5625</v>
      </c>
      <c r="F1455" s="71">
        <f t="shared" si="63"/>
        <v>2</v>
      </c>
      <c r="G1455" s="68" t="s">
        <v>5626</v>
      </c>
      <c r="H1455" s="70"/>
      <c r="I1455" s="7" t="str">
        <f>IFERROR(__xludf.DUMMYFUNCTION("regexreplace(lower(C1455), ""_"", """")"),"bayleyiiicognitivescale")</f>
        <v>bayleyiiicognitivescale</v>
      </c>
      <c r="J1455" s="9" t="b">
        <f t="shared" si="2"/>
        <v>1</v>
      </c>
      <c r="K1455" s="7" t="str">
        <f>IFERROR(__xludf.DUMMYFUNCTION("regexreplace(G1455, ""_"", """")"),"bayleyiiicognitivescale")</f>
        <v>bayleyiiicognitivescale</v>
      </c>
      <c r="L1455" s="70" t="s">
        <v>5627</v>
      </c>
      <c r="M1455" s="70" t="s">
        <v>5627</v>
      </c>
    </row>
    <row r="1456">
      <c r="A1456" s="70"/>
      <c r="B1456" s="68" t="s">
        <v>5538</v>
      </c>
      <c r="C1456" s="68" t="s">
        <v>5628</v>
      </c>
      <c r="D1456" s="68" t="s">
        <v>34</v>
      </c>
      <c r="E1456" s="70" t="s">
        <v>5629</v>
      </c>
      <c r="F1456" s="71">
        <f t="shared" si="63"/>
        <v>2</v>
      </c>
      <c r="G1456" s="68" t="s">
        <v>5630</v>
      </c>
      <c r="H1456" s="70"/>
      <c r="I1456" s="7" t="str">
        <f>IFERROR(__xludf.DUMMYFUNCTION("regexreplace(lower(C1456), ""_"", """")"),"bayleyiiicognitivecomposite")</f>
        <v>bayleyiiicognitivecomposite</v>
      </c>
      <c r="J1456" s="9" t="b">
        <f t="shared" si="2"/>
        <v>1</v>
      </c>
      <c r="K1456" s="7" t="str">
        <f>IFERROR(__xludf.DUMMYFUNCTION("regexreplace(G1456, ""_"", """")"),"bayleyiiicognitivecomposite")</f>
        <v>bayleyiiicognitivecomposite</v>
      </c>
      <c r="L1456" s="70" t="s">
        <v>5631</v>
      </c>
      <c r="M1456" s="70" t="s">
        <v>5631</v>
      </c>
    </row>
    <row r="1457">
      <c r="A1457" s="70"/>
      <c r="B1457" s="68" t="s">
        <v>5538</v>
      </c>
      <c r="C1457" s="68" t="s">
        <v>5632</v>
      </c>
      <c r="D1457" s="68" t="s">
        <v>34</v>
      </c>
      <c r="E1457" s="70" t="s">
        <v>5633</v>
      </c>
      <c r="F1457" s="71">
        <f t="shared" si="63"/>
        <v>2</v>
      </c>
      <c r="G1457" s="68" t="s">
        <v>5634</v>
      </c>
      <c r="H1457" s="70"/>
      <c r="I1457" s="7" t="str">
        <f>IFERROR(__xludf.DUMMYFUNCTION("regexreplace(lower(C1457), ""_"", """")"),"bayleyiiireceptiveraw")</f>
        <v>bayleyiiireceptiveraw</v>
      </c>
      <c r="J1457" s="9" t="b">
        <f t="shared" si="2"/>
        <v>1</v>
      </c>
      <c r="K1457" s="7" t="str">
        <f>IFERROR(__xludf.DUMMYFUNCTION("regexreplace(G1457, ""_"", """")"),"bayleyiiireceptiveraw")</f>
        <v>bayleyiiireceptiveraw</v>
      </c>
      <c r="L1457" s="70" t="s">
        <v>5635</v>
      </c>
      <c r="M1457" s="70" t="s">
        <v>5635</v>
      </c>
    </row>
    <row r="1458">
      <c r="A1458" s="70"/>
      <c r="B1458" s="68" t="s">
        <v>5538</v>
      </c>
      <c r="C1458" s="68" t="s">
        <v>5636</v>
      </c>
      <c r="D1458" s="68" t="s">
        <v>34</v>
      </c>
      <c r="E1458" s="70" t="s">
        <v>5637</v>
      </c>
      <c r="F1458" s="71">
        <f t="shared" si="63"/>
        <v>2</v>
      </c>
      <c r="G1458" s="68" t="s">
        <v>5638</v>
      </c>
      <c r="H1458" s="70"/>
      <c r="I1458" s="7" t="str">
        <f>IFERROR(__xludf.DUMMYFUNCTION("regexreplace(lower(C1458), ""_"", """")"),"bayleyiiireceptivescale")</f>
        <v>bayleyiiireceptivescale</v>
      </c>
      <c r="J1458" s="9" t="b">
        <f t="shared" si="2"/>
        <v>1</v>
      </c>
      <c r="K1458" s="7" t="str">
        <f>IFERROR(__xludf.DUMMYFUNCTION("regexreplace(G1458, ""_"", """")"),"bayleyiiireceptivescale")</f>
        <v>bayleyiiireceptivescale</v>
      </c>
      <c r="L1458" s="70" t="s">
        <v>5639</v>
      </c>
      <c r="M1458" s="70" t="s">
        <v>5639</v>
      </c>
    </row>
    <row r="1459">
      <c r="A1459" s="70"/>
      <c r="B1459" s="68" t="s">
        <v>5538</v>
      </c>
      <c r="C1459" s="68" t="s">
        <v>5640</v>
      </c>
      <c r="D1459" s="68" t="s">
        <v>34</v>
      </c>
      <c r="E1459" s="70" t="s">
        <v>5641</v>
      </c>
      <c r="F1459" s="71">
        <f t="shared" si="63"/>
        <v>2</v>
      </c>
      <c r="G1459" s="68" t="s">
        <v>5642</v>
      </c>
      <c r="H1459" s="70"/>
      <c r="I1459" s="7" t="str">
        <f>IFERROR(__xludf.DUMMYFUNCTION("regexreplace(lower(C1459), ""_"", """")"),"bayleyiiiexpressiveraw")</f>
        <v>bayleyiiiexpressiveraw</v>
      </c>
      <c r="J1459" s="9" t="b">
        <f t="shared" si="2"/>
        <v>1</v>
      </c>
      <c r="K1459" s="7" t="str">
        <f>IFERROR(__xludf.DUMMYFUNCTION("regexreplace(G1459, ""_"", """")"),"bayleyiiiexpressiveraw")</f>
        <v>bayleyiiiexpressiveraw</v>
      </c>
      <c r="L1459" s="70" t="s">
        <v>5643</v>
      </c>
      <c r="M1459" s="70" t="s">
        <v>5643</v>
      </c>
    </row>
    <row r="1460">
      <c r="A1460" s="70"/>
      <c r="B1460" s="68" t="s">
        <v>5538</v>
      </c>
      <c r="C1460" s="68" t="s">
        <v>5644</v>
      </c>
      <c r="D1460" s="68" t="s">
        <v>34</v>
      </c>
      <c r="E1460" s="70" t="s">
        <v>5645</v>
      </c>
      <c r="F1460" s="71">
        <f t="shared" si="63"/>
        <v>2</v>
      </c>
      <c r="G1460" s="68" t="s">
        <v>5646</v>
      </c>
      <c r="H1460" s="70"/>
      <c r="I1460" s="7" t="str">
        <f>IFERROR(__xludf.DUMMYFUNCTION("regexreplace(lower(C1460), ""_"", """")"),"bayleyiiiexpressivescale")</f>
        <v>bayleyiiiexpressivescale</v>
      </c>
      <c r="J1460" s="9" t="b">
        <f t="shared" si="2"/>
        <v>1</v>
      </c>
      <c r="K1460" s="7" t="str">
        <f>IFERROR(__xludf.DUMMYFUNCTION("regexreplace(G1460, ""_"", """")"),"bayleyiiiexpressivescale")</f>
        <v>bayleyiiiexpressivescale</v>
      </c>
      <c r="L1460" s="70" t="s">
        <v>5647</v>
      </c>
      <c r="M1460" s="70" t="s">
        <v>5647</v>
      </c>
    </row>
    <row r="1461">
      <c r="A1461" s="70"/>
      <c r="B1461" s="68" t="s">
        <v>5538</v>
      </c>
      <c r="C1461" s="68" t="s">
        <v>5648</v>
      </c>
      <c r="D1461" s="68" t="s">
        <v>34</v>
      </c>
      <c r="E1461" s="70" t="s">
        <v>5649</v>
      </c>
      <c r="F1461" s="71">
        <f t="shared" si="63"/>
        <v>2</v>
      </c>
      <c r="G1461" s="68" t="s">
        <v>5650</v>
      </c>
      <c r="H1461" s="70"/>
      <c r="I1461" s="7" t="str">
        <f>IFERROR(__xludf.DUMMYFUNCTION("regexreplace(lower(C1461), ""_"", """")"),"bayleyiiisumlanguagescore")</f>
        <v>bayleyiiisumlanguagescore</v>
      </c>
      <c r="J1461" s="9" t="b">
        <f t="shared" si="2"/>
        <v>1</v>
      </c>
      <c r="K1461" s="7" t="str">
        <f>IFERROR(__xludf.DUMMYFUNCTION("regexreplace(G1461, ""_"", """")"),"bayleyiiisumlanguagescore")</f>
        <v>bayleyiiisumlanguagescore</v>
      </c>
      <c r="L1461" s="70" t="s">
        <v>5651</v>
      </c>
      <c r="M1461" s="70" t="s">
        <v>5651</v>
      </c>
    </row>
    <row r="1462">
      <c r="A1462" s="70"/>
      <c r="B1462" s="68" t="s">
        <v>5538</v>
      </c>
      <c r="C1462" s="68" t="s">
        <v>5652</v>
      </c>
      <c r="D1462" s="68" t="s">
        <v>34</v>
      </c>
      <c r="E1462" s="70" t="s">
        <v>5653</v>
      </c>
      <c r="F1462" s="71">
        <f t="shared" si="63"/>
        <v>2</v>
      </c>
      <c r="G1462" s="68" t="s">
        <v>5654</v>
      </c>
      <c r="H1462" s="70"/>
      <c r="I1462" s="7" t="str">
        <f>IFERROR(__xludf.DUMMYFUNCTION("regexreplace(lower(C1462), ""_"", """")"),"bayleyiiilanguagecomposite")</f>
        <v>bayleyiiilanguagecomposite</v>
      </c>
      <c r="J1462" s="9" t="b">
        <f t="shared" si="2"/>
        <v>1</v>
      </c>
      <c r="K1462" s="7" t="str">
        <f>IFERROR(__xludf.DUMMYFUNCTION("regexreplace(G1462, ""_"", """")"),"bayleyiiilanguagecomposite")</f>
        <v>bayleyiiilanguagecomposite</v>
      </c>
      <c r="L1462" s="70" t="s">
        <v>5655</v>
      </c>
      <c r="M1462" s="70" t="s">
        <v>5655</v>
      </c>
    </row>
    <row r="1463">
      <c r="A1463" s="70"/>
      <c r="B1463" s="68" t="s">
        <v>5538</v>
      </c>
      <c r="C1463" s="68" t="s">
        <v>5656</v>
      </c>
      <c r="D1463" s="68" t="s">
        <v>34</v>
      </c>
      <c r="E1463" s="70" t="s">
        <v>5657</v>
      </c>
      <c r="F1463" s="71">
        <f t="shared" si="63"/>
        <v>2</v>
      </c>
      <c r="G1463" s="68" t="s">
        <v>5658</v>
      </c>
      <c r="H1463" s="70"/>
      <c r="I1463" s="7" t="str">
        <f>IFERROR(__xludf.DUMMYFUNCTION("regexreplace(lower(C1463), ""_"", """")"),"bayleyiiimotorfineraw")</f>
        <v>bayleyiiimotorfineraw</v>
      </c>
      <c r="J1463" s="9" t="b">
        <f t="shared" si="2"/>
        <v>1</v>
      </c>
      <c r="K1463" s="7" t="str">
        <f>IFERROR(__xludf.DUMMYFUNCTION("regexreplace(G1463, ""_"", """")"),"bayleyiiimotorfineraw")</f>
        <v>bayleyiiimotorfineraw</v>
      </c>
      <c r="L1463" s="70" t="s">
        <v>5659</v>
      </c>
      <c r="M1463" s="70" t="s">
        <v>5659</v>
      </c>
    </row>
    <row r="1464">
      <c r="A1464" s="70"/>
      <c r="B1464" s="68" t="s">
        <v>5538</v>
      </c>
      <c r="C1464" s="68" t="s">
        <v>5660</v>
      </c>
      <c r="D1464" s="68" t="s">
        <v>34</v>
      </c>
      <c r="E1464" s="70" t="s">
        <v>5661</v>
      </c>
      <c r="F1464" s="71">
        <f t="shared" si="63"/>
        <v>2</v>
      </c>
      <c r="G1464" s="68" t="s">
        <v>5662</v>
      </c>
      <c r="H1464" s="70"/>
      <c r="I1464" s="7" t="str">
        <f>IFERROR(__xludf.DUMMYFUNCTION("regexreplace(lower(C1464), ""_"", """")"),"bayleyiiimotorfinescale")</f>
        <v>bayleyiiimotorfinescale</v>
      </c>
      <c r="J1464" s="9" t="b">
        <f t="shared" si="2"/>
        <v>1</v>
      </c>
      <c r="K1464" s="7" t="str">
        <f>IFERROR(__xludf.DUMMYFUNCTION("regexreplace(G1464, ""_"", """")"),"bayleyiiimotorfinescale")</f>
        <v>bayleyiiimotorfinescale</v>
      </c>
      <c r="L1464" s="70" t="s">
        <v>5663</v>
      </c>
      <c r="M1464" s="70" t="s">
        <v>5663</v>
      </c>
    </row>
    <row r="1465">
      <c r="A1465" s="70"/>
      <c r="B1465" s="68" t="s">
        <v>5538</v>
      </c>
      <c r="C1465" s="68" t="s">
        <v>5664</v>
      </c>
      <c r="D1465" s="68" t="s">
        <v>34</v>
      </c>
      <c r="E1465" s="70" t="s">
        <v>5665</v>
      </c>
      <c r="F1465" s="71">
        <f t="shared" si="63"/>
        <v>2</v>
      </c>
      <c r="G1465" s="68" t="s">
        <v>5666</v>
      </c>
      <c r="H1465" s="70"/>
      <c r="I1465" s="7" t="str">
        <f>IFERROR(__xludf.DUMMYFUNCTION("regexreplace(lower(C1465), ""_"", """")"),"bayleyiiimotorgrossraw")</f>
        <v>bayleyiiimotorgrossraw</v>
      </c>
      <c r="J1465" s="9" t="b">
        <f t="shared" si="2"/>
        <v>1</v>
      </c>
      <c r="K1465" s="7" t="str">
        <f>IFERROR(__xludf.DUMMYFUNCTION("regexreplace(G1465, ""_"", """")"),"bayleyiiimotorgrossraw")</f>
        <v>bayleyiiimotorgrossraw</v>
      </c>
      <c r="L1465" s="70" t="s">
        <v>5667</v>
      </c>
      <c r="M1465" s="70" t="s">
        <v>5667</v>
      </c>
    </row>
    <row r="1466">
      <c r="A1466" s="70"/>
      <c r="B1466" s="68" t="s">
        <v>5538</v>
      </c>
      <c r="C1466" s="68" t="s">
        <v>5668</v>
      </c>
      <c r="D1466" s="68" t="s">
        <v>34</v>
      </c>
      <c r="E1466" s="70" t="s">
        <v>5669</v>
      </c>
      <c r="F1466" s="71">
        <f t="shared" si="63"/>
        <v>2</v>
      </c>
      <c r="G1466" s="68" t="s">
        <v>5670</v>
      </c>
      <c r="H1466" s="70"/>
      <c r="I1466" s="7" t="str">
        <f>IFERROR(__xludf.DUMMYFUNCTION("regexreplace(lower(C1466), ""_"", """")"),"bayleyiiimotorgrossscale")</f>
        <v>bayleyiiimotorgrossscale</v>
      </c>
      <c r="J1466" s="9" t="b">
        <f t="shared" si="2"/>
        <v>1</v>
      </c>
      <c r="K1466" s="7" t="str">
        <f>IFERROR(__xludf.DUMMYFUNCTION("regexreplace(G1466, ""_"", """")"),"bayleyiiimotorgrossscale")</f>
        <v>bayleyiiimotorgrossscale</v>
      </c>
      <c r="L1466" s="70" t="s">
        <v>5671</v>
      </c>
      <c r="M1466" s="70" t="s">
        <v>5671</v>
      </c>
    </row>
    <row r="1467">
      <c r="A1467" s="70"/>
      <c r="B1467" s="68" t="s">
        <v>5538</v>
      </c>
      <c r="C1467" s="68" t="s">
        <v>5672</v>
      </c>
      <c r="D1467" s="68" t="s">
        <v>34</v>
      </c>
      <c r="E1467" s="70" t="s">
        <v>5673</v>
      </c>
      <c r="F1467" s="71">
        <f t="shared" si="63"/>
        <v>2</v>
      </c>
      <c r="G1467" s="68" t="s">
        <v>5674</v>
      </c>
      <c r="H1467" s="70"/>
      <c r="I1467" s="7" t="str">
        <f>IFERROR(__xludf.DUMMYFUNCTION("regexreplace(lower(C1467), ""_"", """")"),"bayleyiiisummotorscore")</f>
        <v>bayleyiiisummotorscore</v>
      </c>
      <c r="J1467" s="9" t="b">
        <f t="shared" si="2"/>
        <v>1</v>
      </c>
      <c r="K1467" s="7" t="str">
        <f>IFERROR(__xludf.DUMMYFUNCTION("regexreplace(G1467, ""_"", """")"),"bayleyiiisummotorscore")</f>
        <v>bayleyiiisummotorscore</v>
      </c>
      <c r="L1467" s="70" t="s">
        <v>5675</v>
      </c>
      <c r="M1467" s="70" t="s">
        <v>5675</v>
      </c>
    </row>
    <row r="1468">
      <c r="A1468" s="70"/>
      <c r="B1468" s="68" t="s">
        <v>5538</v>
      </c>
      <c r="C1468" s="68" t="s">
        <v>5676</v>
      </c>
      <c r="D1468" s="68" t="s">
        <v>34</v>
      </c>
      <c r="E1468" s="70" t="s">
        <v>5677</v>
      </c>
      <c r="F1468" s="71">
        <f t="shared" si="63"/>
        <v>2</v>
      </c>
      <c r="G1468" s="68" t="s">
        <v>5678</v>
      </c>
      <c r="H1468" s="70"/>
      <c r="I1468" s="7" t="str">
        <f>IFERROR(__xludf.DUMMYFUNCTION("regexreplace(lower(C1468), ""_"", """")"),"bayleyiiimotorcomposite")</f>
        <v>bayleyiiimotorcomposite</v>
      </c>
      <c r="J1468" s="9" t="b">
        <f t="shared" si="2"/>
        <v>1</v>
      </c>
      <c r="K1468" s="7" t="str">
        <f>IFERROR(__xludf.DUMMYFUNCTION("regexreplace(G1468, ""_"", """")"),"bayleyiiimotorcomposite")</f>
        <v>bayleyiiimotorcomposite</v>
      </c>
      <c r="L1468" s="70" t="s">
        <v>5679</v>
      </c>
      <c r="M1468" s="70" t="s">
        <v>5679</v>
      </c>
    </row>
    <row r="1469">
      <c r="A1469" s="70"/>
      <c r="B1469" s="68" t="s">
        <v>5538</v>
      </c>
      <c r="C1469" s="68" t="s">
        <v>5680</v>
      </c>
      <c r="D1469" s="68" t="s">
        <v>43</v>
      </c>
      <c r="E1469" s="70" t="s">
        <v>5681</v>
      </c>
      <c r="F1469" s="71">
        <f t="shared" si="63"/>
        <v>2</v>
      </c>
      <c r="G1469" s="68" t="s">
        <v>5682</v>
      </c>
      <c r="H1469" s="70"/>
      <c r="I1469" s="7" t="str">
        <f>IFERROR(__xludf.DUMMYFUNCTION("regexreplace(lower(C1469), ""_"", """")"),"bayleyiiiinenglish")</f>
        <v>bayleyiiiinenglish</v>
      </c>
      <c r="J1469" s="9" t="b">
        <f t="shared" si="2"/>
        <v>1</v>
      </c>
      <c r="K1469" s="7" t="str">
        <f>IFERROR(__xludf.DUMMYFUNCTION("regexreplace(G1469, ""_"", """")"),"bayleyiiiinenglish")</f>
        <v>bayleyiiiinenglish</v>
      </c>
      <c r="L1469" s="70" t="s">
        <v>5683</v>
      </c>
      <c r="M1469" s="70" t="s">
        <v>5683</v>
      </c>
    </row>
    <row r="1470">
      <c r="A1470" s="70"/>
      <c r="B1470" s="68" t="s">
        <v>5538</v>
      </c>
      <c r="C1470" s="68" t="s">
        <v>5684</v>
      </c>
      <c r="D1470" s="68" t="s">
        <v>43</v>
      </c>
      <c r="E1470" s="70" t="s">
        <v>5685</v>
      </c>
      <c r="F1470" s="71">
        <f t="shared" si="63"/>
        <v>2</v>
      </c>
      <c r="G1470" s="68" t="s">
        <v>5686</v>
      </c>
      <c r="H1470" s="70"/>
      <c r="I1470" s="7" t="str">
        <f>IFERROR(__xludf.DUMMYFUNCTION("regexreplace(lower(C1470), ""_"", """")"),"bayleyiiirequireinterpreter")</f>
        <v>bayleyiiirequireinterpreter</v>
      </c>
      <c r="J1470" s="9" t="b">
        <f t="shared" si="2"/>
        <v>1</v>
      </c>
      <c r="K1470" s="7" t="str">
        <f>IFERROR(__xludf.DUMMYFUNCTION("regexreplace(G1470, ""_"", """")"),"bayleyiiirequireinterpreter")</f>
        <v>bayleyiiirequireinterpreter</v>
      </c>
      <c r="L1470" s="70" t="s">
        <v>5687</v>
      </c>
      <c r="M1470" s="70" t="s">
        <v>5687</v>
      </c>
    </row>
    <row r="1471">
      <c r="A1471" s="70"/>
      <c r="B1471" s="68" t="s">
        <v>5538</v>
      </c>
      <c r="C1471" s="68" t="s">
        <v>5688</v>
      </c>
      <c r="D1471" s="68" t="s">
        <v>43</v>
      </c>
      <c r="E1471" s="70" t="s">
        <v>5689</v>
      </c>
      <c r="F1471" s="71">
        <f t="shared" si="63"/>
        <v>2</v>
      </c>
      <c r="G1471" s="68" t="s">
        <v>5690</v>
      </c>
      <c r="H1471" s="70"/>
      <c r="I1471" s="7" t="str">
        <f>IFERROR(__xludf.DUMMYFUNCTION("regexreplace(lower(C1471), ""_"", """")"),"bayleyiiiadministratormaskedtochildhistory")</f>
        <v>bayleyiiiadministratormaskedtochildhistory</v>
      </c>
      <c r="J1471" s="9" t="b">
        <f t="shared" si="2"/>
        <v>1</v>
      </c>
      <c r="K1471" s="7" t="str">
        <f>IFERROR(__xludf.DUMMYFUNCTION("regexreplace(G1471, ""_"", """")"),"bayleyiiiadministratormaskedtochildhistory")</f>
        <v>bayleyiiiadministratormaskedtochildhistory</v>
      </c>
      <c r="L1471" s="70" t="s">
        <v>5691</v>
      </c>
      <c r="M1471" s="70" t="s">
        <v>5691</v>
      </c>
    </row>
    <row r="1472">
      <c r="A1472" s="68" t="s">
        <v>4607</v>
      </c>
      <c r="B1472" s="68" t="s">
        <v>5538</v>
      </c>
      <c r="C1472" s="68" t="s">
        <v>5692</v>
      </c>
      <c r="D1472" s="68" t="s">
        <v>4911</v>
      </c>
      <c r="E1472" s="70" t="s">
        <v>5693</v>
      </c>
      <c r="F1472" s="71">
        <f t="shared" si="63"/>
        <v>2</v>
      </c>
      <c r="G1472" s="68" t="s">
        <v>5694</v>
      </c>
      <c r="H1472" s="70"/>
      <c r="I1472" s="7" t="str">
        <f>IFERROR(__xludf.DUMMYFUNCTION("regexreplace(lower(C1472), ""_"", """")"),"bayleyiiiwhere")</f>
        <v>bayleyiiiwhere</v>
      </c>
      <c r="J1472" s="9" t="b">
        <f t="shared" si="2"/>
        <v>1</v>
      </c>
      <c r="K1472" s="7" t="str">
        <f>IFERROR(__xludf.DUMMYFUNCTION("regexreplace(G1472, ""_"", """")"),"bayleyiiiwhere")</f>
        <v>bayleyiiiwhere</v>
      </c>
      <c r="L1472" s="70" t="s">
        <v>5695</v>
      </c>
      <c r="M1472" s="70" t="s">
        <v>5695</v>
      </c>
    </row>
    <row r="1473">
      <c r="A1473" s="70"/>
      <c r="B1473" s="68" t="s">
        <v>5538</v>
      </c>
      <c r="C1473" s="68" t="s">
        <v>5696</v>
      </c>
      <c r="D1473" s="68" t="s">
        <v>29</v>
      </c>
      <c r="E1473" s="70" t="s">
        <v>5697</v>
      </c>
      <c r="F1473" s="71">
        <f t="shared" si="63"/>
        <v>2</v>
      </c>
      <c r="G1473" s="68" t="s">
        <v>5698</v>
      </c>
      <c r="H1473" s="70"/>
      <c r="I1473" s="7" t="str">
        <f>IFERROR(__xludf.DUMMYFUNCTION("regexreplace(lower(C1473), ""_"", """")"),"bayleyiiidate")</f>
        <v>bayleyiiidate</v>
      </c>
      <c r="J1473" s="9" t="b">
        <f t="shared" si="2"/>
        <v>1</v>
      </c>
      <c r="K1473" s="7" t="str">
        <f>IFERROR(__xludf.DUMMYFUNCTION("regexreplace(G1473, ""_"", """")"),"bayleyiiidate")</f>
        <v>bayleyiiidate</v>
      </c>
      <c r="L1473" s="70" t="s">
        <v>5699</v>
      </c>
      <c r="M1473" s="70" t="s">
        <v>5699</v>
      </c>
    </row>
    <row r="1474">
      <c r="A1474" s="12"/>
      <c r="B1474" s="12"/>
      <c r="C1474" s="13"/>
      <c r="D1474" s="12"/>
      <c r="E1474" s="12"/>
      <c r="F1474" s="12"/>
      <c r="G1474" s="12"/>
      <c r="H1474" s="12"/>
      <c r="I1474" s="7" t="str">
        <f>IFERROR(__xludf.DUMMYFUNCTION("regexreplace(lower(C1474), ""_"", """")"),"")</f>
        <v/>
      </c>
      <c r="J1474" s="9" t="str">
        <f t="shared" si="2"/>
        <v/>
      </c>
      <c r="K1474" s="7" t="str">
        <f>IFERROR(__xludf.DUMMYFUNCTION("regexreplace(G1474, ""_"", """")"),"")</f>
        <v/>
      </c>
      <c r="L1474" s="12"/>
      <c r="M1474" s="12"/>
    </row>
    <row r="1475">
      <c r="A1475" s="68" t="s">
        <v>4607</v>
      </c>
      <c r="B1475" s="68" t="s">
        <v>5700</v>
      </c>
      <c r="C1475" s="68" t="s">
        <v>3797</v>
      </c>
      <c r="D1475" s="68" t="s">
        <v>29</v>
      </c>
      <c r="E1475" s="70" t="s">
        <v>5701</v>
      </c>
      <c r="F1475" s="71">
        <f t="shared" ref="F1475:F1491" si="64">counta(L1475:M1475)</f>
        <v>2</v>
      </c>
      <c r="G1475" s="68" t="s">
        <v>3799</v>
      </c>
      <c r="H1475" s="70"/>
      <c r="I1475" s="7" t="str">
        <f>IFERROR(__xludf.DUMMYFUNCTION("regexreplace(lower(C1475), ""_"", """")"),"dischargedate")</f>
        <v>dischargedate</v>
      </c>
      <c r="J1475" s="9" t="b">
        <f t="shared" si="2"/>
        <v>1</v>
      </c>
      <c r="K1475" s="7" t="str">
        <f>IFERROR(__xludf.DUMMYFUNCTION("regexreplace(G1475, ""_"", """")"),"dischargedate")</f>
        <v>dischargedate</v>
      </c>
      <c r="L1475" s="70" t="s">
        <v>5702</v>
      </c>
      <c r="M1475" s="70" t="s">
        <v>5702</v>
      </c>
    </row>
    <row r="1476">
      <c r="A1476" s="70"/>
      <c r="B1476" s="68" t="s">
        <v>5700</v>
      </c>
      <c r="C1476" s="68" t="s">
        <v>5703</v>
      </c>
      <c r="D1476" s="68" t="s">
        <v>29</v>
      </c>
      <c r="E1476" s="70" t="s">
        <v>5704</v>
      </c>
      <c r="F1476" s="71">
        <f t="shared" si="64"/>
        <v>2</v>
      </c>
      <c r="G1476" s="68" t="s">
        <v>5703</v>
      </c>
      <c r="H1476" s="70"/>
      <c r="I1476" s="7" t="str">
        <f>IFERROR(__xludf.DUMMYFUNCTION("regexreplace(lower(C1476), ""_"", """")"),"birthdate")</f>
        <v>birthdate</v>
      </c>
      <c r="J1476" s="9" t="b">
        <f t="shared" si="2"/>
        <v>1</v>
      </c>
      <c r="K1476" s="7" t="str">
        <f>IFERROR(__xludf.DUMMYFUNCTION("regexreplace(G1476, ""_"", """")"),"birthdate")</f>
        <v>birthdate</v>
      </c>
      <c r="L1476" s="70" t="s">
        <v>5705</v>
      </c>
      <c r="M1476" s="70" t="s">
        <v>5705</v>
      </c>
    </row>
    <row r="1477">
      <c r="A1477" s="70"/>
      <c r="B1477" s="68" t="s">
        <v>5700</v>
      </c>
      <c r="C1477" s="68" t="s">
        <v>5706</v>
      </c>
      <c r="D1477" s="68" t="s">
        <v>34</v>
      </c>
      <c r="E1477" s="70" t="s">
        <v>5707</v>
      </c>
      <c r="F1477" s="71">
        <f t="shared" si="64"/>
        <v>2</v>
      </c>
      <c r="G1477" s="68" t="s">
        <v>5708</v>
      </c>
      <c r="H1477" s="70"/>
      <c r="I1477" s="7" t="str">
        <f>IFERROR(__xludf.DUMMYFUNCTION("regexreplace(lower(C1477), ""_"", """")"),"readmissionnumber")</f>
        <v>readmissionnumber</v>
      </c>
      <c r="J1477" s="9" t="b">
        <f t="shared" si="2"/>
        <v>1</v>
      </c>
      <c r="K1477" s="7" t="str">
        <f>IFERROR(__xludf.DUMMYFUNCTION("regexreplace(G1477, ""_"", """")"),"readmissionnumber")</f>
        <v>readmissionnumber</v>
      </c>
      <c r="L1477" s="70" t="s">
        <v>5709</v>
      </c>
      <c r="M1477" s="70" t="s">
        <v>5709</v>
      </c>
    </row>
    <row r="1478">
      <c r="A1478" s="70"/>
      <c r="B1478" s="68" t="s">
        <v>5700</v>
      </c>
      <c r="C1478" s="68" t="s">
        <v>5710</v>
      </c>
      <c r="D1478" s="68" t="s">
        <v>5710</v>
      </c>
      <c r="E1478" s="70" t="s">
        <v>5711</v>
      </c>
      <c r="F1478" s="71">
        <f t="shared" si="64"/>
        <v>2</v>
      </c>
      <c r="G1478" s="68" t="s">
        <v>5712</v>
      </c>
      <c r="H1478" s="70"/>
      <c r="I1478" s="7" t="str">
        <f>IFERROR(__xludf.DUMMYFUNCTION("regexreplace(lower(C1478), ""_"", """")"),"readmissiontimeperiod")</f>
        <v>readmissiontimeperiod</v>
      </c>
      <c r="J1478" s="9" t="b">
        <f t="shared" si="2"/>
        <v>1</v>
      </c>
      <c r="K1478" s="7" t="str">
        <f>IFERROR(__xludf.DUMMYFUNCTION("regexreplace(G1478, ""_"", """")"),"readmissiontimeperiod")</f>
        <v>readmissiontimeperiod</v>
      </c>
      <c r="L1478" s="70" t="s">
        <v>5713</v>
      </c>
      <c r="M1478" s="70" t="s">
        <v>5713</v>
      </c>
    </row>
    <row r="1479">
      <c r="A1479" s="70"/>
      <c r="B1479" s="68" t="s">
        <v>5700</v>
      </c>
      <c r="C1479" s="68" t="s">
        <v>5714</v>
      </c>
      <c r="D1479" s="68" t="s">
        <v>5714</v>
      </c>
      <c r="E1479" s="70" t="s">
        <v>5715</v>
      </c>
      <c r="F1479" s="71">
        <f t="shared" si="64"/>
        <v>2</v>
      </c>
      <c r="G1479" s="68" t="s">
        <v>5716</v>
      </c>
      <c r="H1479" s="70"/>
      <c r="I1479" s="7" t="str">
        <f>IFERROR(__xludf.DUMMYFUNCTION("regexreplace(lower(C1479), ""_"", """")"),"readmissionprimarycause")</f>
        <v>readmissionprimarycause</v>
      </c>
      <c r="J1479" s="9" t="b">
        <f t="shared" si="2"/>
        <v>1</v>
      </c>
      <c r="K1479" s="7" t="str">
        <f>IFERROR(__xludf.DUMMYFUNCTION("regexreplace(G1479, ""_"", """")"),"readmissionprimarycause")</f>
        <v>readmissionprimarycause</v>
      </c>
      <c r="L1479" s="70" t="s">
        <v>5717</v>
      </c>
      <c r="M1479" s="70" t="s">
        <v>5717</v>
      </c>
    </row>
    <row r="1480">
      <c r="A1480" s="70"/>
      <c r="B1480" s="68" t="s">
        <v>5700</v>
      </c>
      <c r="C1480" s="68" t="s">
        <v>5718</v>
      </c>
      <c r="D1480" s="68" t="s">
        <v>19</v>
      </c>
      <c r="E1480" s="70" t="s">
        <v>5719</v>
      </c>
      <c r="F1480" s="71">
        <f t="shared" si="64"/>
        <v>2</v>
      </c>
      <c r="G1480" s="68" t="s">
        <v>5720</v>
      </c>
      <c r="H1480" s="70"/>
      <c r="I1480" s="7" t="str">
        <f>IFERROR(__xludf.DUMMYFUNCTION("regexreplace(lower(C1480), ""_"", """")"),"readmissionprimarycauseothertext")</f>
        <v>readmissionprimarycauseothertext</v>
      </c>
      <c r="J1480" s="9" t="b">
        <f t="shared" si="2"/>
        <v>1</v>
      </c>
      <c r="K1480" s="7" t="str">
        <f>IFERROR(__xludf.DUMMYFUNCTION("regexreplace(G1480, ""_"", """")"),"readmissionprimarycauseothertext")</f>
        <v>readmissionprimarycauseothertext</v>
      </c>
      <c r="L1480" s="70" t="s">
        <v>5721</v>
      </c>
      <c r="M1480" s="70" t="s">
        <v>5721</v>
      </c>
    </row>
    <row r="1481">
      <c r="A1481" s="70"/>
      <c r="B1481" s="68" t="s">
        <v>5700</v>
      </c>
      <c r="C1481" s="68" t="s">
        <v>5722</v>
      </c>
      <c r="D1481" s="68" t="s">
        <v>5722</v>
      </c>
      <c r="E1481" s="70" t="s">
        <v>5723</v>
      </c>
      <c r="F1481" s="71">
        <f t="shared" si="64"/>
        <v>1</v>
      </c>
      <c r="G1481" s="68" t="s">
        <v>5724</v>
      </c>
      <c r="H1481" s="70"/>
      <c r="I1481" s="7" t="str">
        <f>IFERROR(__xludf.DUMMYFUNCTION("regexreplace(lower(C1481), ""_"", """")"),"readmissionlengthofstay")</f>
        <v>readmissionlengthofstay</v>
      </c>
      <c r="J1481" s="9" t="b">
        <f t="shared" si="2"/>
        <v>1</v>
      </c>
      <c r="K1481" s="7" t="str">
        <f>IFERROR(__xludf.DUMMYFUNCTION("regexreplace(G1481, ""_"", """")"),"readmissionlengthofstay")</f>
        <v>readmissionlengthofstay</v>
      </c>
      <c r="L1481" s="70"/>
      <c r="M1481" s="70" t="s">
        <v>5725</v>
      </c>
    </row>
    <row r="1482">
      <c r="A1482" s="70"/>
      <c r="B1482" s="68" t="s">
        <v>5700</v>
      </c>
      <c r="C1482" s="68" t="s">
        <v>5726</v>
      </c>
      <c r="D1482" s="68" t="s">
        <v>43</v>
      </c>
      <c r="E1482" s="70" t="s">
        <v>5727</v>
      </c>
      <c r="F1482" s="71">
        <f t="shared" si="64"/>
        <v>1</v>
      </c>
      <c r="G1482" s="68" t="s">
        <v>5728</v>
      </c>
      <c r="H1482" s="70"/>
      <c r="I1482" s="7" t="str">
        <f>IFERROR(__xludf.DUMMYFUNCTION("regexreplace(lower(C1482), ""_"", """")"),"readmissionicu")</f>
        <v>readmissionicu</v>
      </c>
      <c r="J1482" s="9" t="b">
        <f t="shared" si="2"/>
        <v>1</v>
      </c>
      <c r="K1482" s="7" t="str">
        <f>IFERROR(__xludf.DUMMYFUNCTION("regexreplace(G1482, ""_"", """")"),"readmissionicu")</f>
        <v>readmissionicu</v>
      </c>
      <c r="L1482" s="70"/>
      <c r="M1482" s="70" t="s">
        <v>5729</v>
      </c>
    </row>
    <row r="1483">
      <c r="A1483" s="70"/>
      <c r="B1483" s="68" t="s">
        <v>5700</v>
      </c>
      <c r="C1483" s="68" t="s">
        <v>5730</v>
      </c>
      <c r="D1483" s="68" t="s">
        <v>4911</v>
      </c>
      <c r="E1483" s="70" t="s">
        <v>5731</v>
      </c>
      <c r="F1483" s="71">
        <f t="shared" si="64"/>
        <v>2</v>
      </c>
      <c r="G1483" s="68" t="s">
        <v>5732</v>
      </c>
      <c r="H1483" s="70"/>
      <c r="I1483" s="7" t="str">
        <f>IFERROR(__xludf.DUMMYFUNCTION("regexreplace(lower(C1483), ""_"", """")"),"readmissioninterviewwhere")</f>
        <v>readmissioninterviewwhere</v>
      </c>
      <c r="J1483" s="9" t="b">
        <f t="shared" si="2"/>
        <v>1</v>
      </c>
      <c r="K1483" s="7" t="str">
        <f>IFERROR(__xludf.DUMMYFUNCTION("regexreplace(G1483, ""_"", """")"),"readmissioninterviewwhere")</f>
        <v>readmissioninterviewwhere</v>
      </c>
      <c r="L1483" s="70" t="s">
        <v>5733</v>
      </c>
      <c r="M1483" s="70" t="s">
        <v>5733</v>
      </c>
    </row>
    <row r="1484">
      <c r="A1484" s="70"/>
      <c r="B1484" s="68" t="s">
        <v>5700</v>
      </c>
      <c r="C1484" s="68" t="s">
        <v>5734</v>
      </c>
      <c r="D1484" s="68" t="s">
        <v>29</v>
      </c>
      <c r="E1484" s="70" t="s">
        <v>5735</v>
      </c>
      <c r="F1484" s="71">
        <f t="shared" si="64"/>
        <v>2</v>
      </c>
      <c r="G1484" s="68" t="s">
        <v>5736</v>
      </c>
      <c r="H1484" s="70"/>
      <c r="I1484" s="7" t="str">
        <f>IFERROR(__xludf.DUMMYFUNCTION("regexreplace(lower(C1484), ""_"", """")"),"readmissiondateobtain")</f>
        <v>readmissiondateobtain</v>
      </c>
      <c r="J1484" s="9" t="b">
        <f t="shared" si="2"/>
        <v>1</v>
      </c>
      <c r="K1484" s="7" t="str">
        <f>IFERROR(__xludf.DUMMYFUNCTION("regexreplace(G1484, ""_"", """")"),"readmissiondateobtain")</f>
        <v>readmissiondateobtain</v>
      </c>
      <c r="L1484" s="70" t="s">
        <v>5737</v>
      </c>
      <c r="M1484" s="70" t="s">
        <v>5737</v>
      </c>
    </row>
    <row r="1485">
      <c r="A1485" s="12"/>
      <c r="B1485" s="12"/>
      <c r="C1485" s="13"/>
      <c r="D1485" s="12"/>
      <c r="E1485" s="12" t="s">
        <v>5738</v>
      </c>
      <c r="F1485" s="14">
        <f t="shared" si="64"/>
        <v>2</v>
      </c>
      <c r="G1485" s="12" t="s">
        <v>913</v>
      </c>
      <c r="H1485" s="12"/>
      <c r="I1485" s="7" t="str">
        <f>IFERROR(__xludf.DUMMYFUNCTION("regexreplace(lower(C1485), ""_"", """")"),"")</f>
        <v/>
      </c>
      <c r="J1485" s="9" t="str">
        <f t="shared" si="2"/>
        <v/>
      </c>
      <c r="K1485" s="7" t="str">
        <f>IFERROR(__xludf.DUMMYFUNCTION("regexreplace(G1485, ""_"", """")"),"")</f>
        <v/>
      </c>
      <c r="L1485" s="12" t="s">
        <v>5739</v>
      </c>
      <c r="M1485" s="12" t="s">
        <v>5739</v>
      </c>
    </row>
    <row r="1486">
      <c r="A1486" s="68" t="s">
        <v>4607</v>
      </c>
      <c r="B1486" s="68" t="s">
        <v>3779</v>
      </c>
      <c r="C1486" s="68" t="s">
        <v>5740</v>
      </c>
      <c r="D1486" s="68" t="s">
        <v>29</v>
      </c>
      <c r="E1486" s="70" t="s">
        <v>4612</v>
      </c>
      <c r="F1486" s="71">
        <f t="shared" si="64"/>
        <v>2</v>
      </c>
      <c r="G1486" s="68" t="s">
        <v>5741</v>
      </c>
      <c r="H1486" s="70"/>
      <c r="I1486" s="7" t="str">
        <f>IFERROR(__xludf.DUMMYFUNCTION("regexreplace(lower(C1486), ""_"", """")"),"statusvisitdate")</f>
        <v>statusvisitdate</v>
      </c>
      <c r="J1486" s="9" t="b">
        <f t="shared" si="2"/>
        <v>1</v>
      </c>
      <c r="K1486" s="7" t="str">
        <f>IFERROR(__xludf.DUMMYFUNCTION("regexreplace(G1486, ""_"", """")"),"statusvisitdate")</f>
        <v>statusvisitdate</v>
      </c>
      <c r="L1486" s="72" t="s">
        <v>5742</v>
      </c>
      <c r="M1486" s="72" t="s">
        <v>5742</v>
      </c>
    </row>
    <row r="1487">
      <c r="A1487" s="70"/>
      <c r="B1487" s="68" t="s">
        <v>3779</v>
      </c>
      <c r="C1487" s="68" t="s">
        <v>5743</v>
      </c>
      <c r="D1487" s="68" t="s">
        <v>29</v>
      </c>
      <c r="E1487" s="70" t="s">
        <v>4629</v>
      </c>
      <c r="F1487" s="71">
        <f t="shared" si="64"/>
        <v>2</v>
      </c>
      <c r="G1487" s="68" t="s">
        <v>5744</v>
      </c>
      <c r="H1487" s="70"/>
      <c r="I1487" s="7" t="str">
        <f>IFERROR(__xludf.DUMMYFUNCTION("regexreplace(lower(C1487), ""_"", """")"),"statusbirthdate")</f>
        <v>statusbirthdate</v>
      </c>
      <c r="J1487" s="9" t="b">
        <f t="shared" si="2"/>
        <v>1</v>
      </c>
      <c r="K1487" s="7" t="str">
        <f>IFERROR(__xludf.DUMMYFUNCTION("regexreplace(G1487, ""_"", """")"),"statusbirthdate")</f>
        <v>statusbirthdate</v>
      </c>
      <c r="L1487" s="70" t="s">
        <v>5745</v>
      </c>
      <c r="M1487" s="70" t="s">
        <v>5745</v>
      </c>
    </row>
    <row r="1488">
      <c r="A1488" s="70"/>
      <c r="B1488" s="68" t="s">
        <v>3779</v>
      </c>
      <c r="C1488" s="68" t="s">
        <v>5746</v>
      </c>
      <c r="D1488" s="68" t="s">
        <v>5747</v>
      </c>
      <c r="E1488" s="70" t="s">
        <v>5748</v>
      </c>
      <c r="F1488" s="71">
        <f t="shared" si="64"/>
        <v>2</v>
      </c>
      <c r="G1488" s="68" t="s">
        <v>5749</v>
      </c>
      <c r="H1488" s="70"/>
      <c r="I1488" s="7" t="str">
        <f>IFERROR(__xludf.DUMMYFUNCTION("regexreplace(lower(C1488), ""_"", """")"),"childfinalstatus")</f>
        <v>childfinalstatus</v>
      </c>
      <c r="J1488" s="9" t="b">
        <f t="shared" si="2"/>
        <v>1</v>
      </c>
      <c r="K1488" s="7" t="str">
        <f>IFERROR(__xludf.DUMMYFUNCTION("regexreplace(G1488, ""_"", """")"),"childfinalstatus")</f>
        <v>childfinalstatus</v>
      </c>
      <c r="L1488" s="70" t="s">
        <v>5750</v>
      </c>
      <c r="M1488" s="70" t="s">
        <v>5750</v>
      </c>
    </row>
    <row r="1489">
      <c r="A1489" s="70"/>
      <c r="B1489" s="68" t="s">
        <v>3779</v>
      </c>
      <c r="C1489" s="68" t="s">
        <v>3881</v>
      </c>
      <c r="D1489" s="68" t="s">
        <v>29</v>
      </c>
      <c r="E1489" s="70" t="s">
        <v>3882</v>
      </c>
      <c r="F1489" s="71">
        <f t="shared" si="64"/>
        <v>2</v>
      </c>
      <c r="G1489" s="68" t="s">
        <v>3883</v>
      </c>
      <c r="H1489" s="70"/>
      <c r="I1489" s="7" t="str">
        <f>IFERROR(__xludf.DUMMYFUNCTION("regexreplace(lower(C1489), ""_"", """")"),"deathdate")</f>
        <v>deathdate</v>
      </c>
      <c r="J1489" s="9" t="b">
        <f t="shared" si="2"/>
        <v>1</v>
      </c>
      <c r="K1489" s="7" t="str">
        <f>IFERROR(__xludf.DUMMYFUNCTION("regexreplace(G1489, ""_"", """")"),"deathdate")</f>
        <v>deathdate</v>
      </c>
      <c r="L1489" s="70" t="s">
        <v>5751</v>
      </c>
      <c r="M1489" s="70" t="s">
        <v>5751</v>
      </c>
    </row>
    <row r="1490">
      <c r="A1490" s="70"/>
      <c r="B1490" s="68" t="s">
        <v>3779</v>
      </c>
      <c r="C1490" s="68" t="s">
        <v>3900</v>
      </c>
      <c r="D1490" s="68" t="s">
        <v>3900</v>
      </c>
      <c r="E1490" s="70" t="s">
        <v>3901</v>
      </c>
      <c r="F1490" s="71">
        <f t="shared" si="64"/>
        <v>1</v>
      </c>
      <c r="G1490" s="68" t="s">
        <v>3902</v>
      </c>
      <c r="H1490" s="70"/>
      <c r="I1490" s="7" t="str">
        <f>IFERROR(__xludf.DUMMYFUNCTION("regexreplace(lower(C1490), ""_"", """")"),"deathcause")</f>
        <v>deathcause</v>
      </c>
      <c r="J1490" s="9" t="b">
        <f t="shared" si="2"/>
        <v>1</v>
      </c>
      <c r="K1490" s="7" t="str">
        <f>IFERROR(__xludf.DUMMYFUNCTION("regexreplace(G1490, ""_"", """")"),"deathcause")</f>
        <v>deathcause</v>
      </c>
      <c r="L1490" s="70"/>
      <c r="M1490" s="70" t="s">
        <v>5752</v>
      </c>
    </row>
    <row r="1491">
      <c r="A1491" s="70"/>
      <c r="B1491" s="68" t="s">
        <v>3779</v>
      </c>
      <c r="C1491" s="68" t="s">
        <v>5753</v>
      </c>
      <c r="D1491" s="68" t="s">
        <v>5753</v>
      </c>
      <c r="E1491" s="70" t="s">
        <v>5754</v>
      </c>
      <c r="F1491" s="71">
        <f t="shared" si="64"/>
        <v>2</v>
      </c>
      <c r="G1491" s="68" t="s">
        <v>5755</v>
      </c>
      <c r="H1491" s="70"/>
      <c r="I1491" s="7" t="str">
        <f>IFERROR(__xludf.DUMMYFUNCTION("regexreplace(lower(C1491), ""_"", """")"),"reasonlossfollowup")</f>
        <v>reasonlossfollowup</v>
      </c>
      <c r="J1491" s="9" t="b">
        <f t="shared" si="2"/>
        <v>1</v>
      </c>
      <c r="K1491" s="7" t="str">
        <f>IFERROR(__xludf.DUMMYFUNCTION("regexreplace(G1491, ""_"", """")"),"reasonlossfollowup")</f>
        <v>reasonlossfollowup</v>
      </c>
      <c r="L1491" s="70" t="s">
        <v>5756</v>
      </c>
      <c r="M1491" s="70" t="s">
        <v>5756</v>
      </c>
    </row>
    <row r="1492">
      <c r="A1492" s="12"/>
      <c r="B1492" s="12"/>
      <c r="C1492" s="13"/>
      <c r="D1492" s="12"/>
      <c r="E1492" s="12"/>
      <c r="F1492" s="12"/>
      <c r="G1492" s="12" t="s">
        <v>913</v>
      </c>
      <c r="H1492" s="12"/>
      <c r="I1492" s="7" t="str">
        <f>IFERROR(__xludf.DUMMYFUNCTION("regexreplace(lower(C1492), ""_"", """")"),"")</f>
        <v/>
      </c>
      <c r="J1492" s="9" t="str">
        <f t="shared" si="2"/>
        <v/>
      </c>
      <c r="K1492" s="7" t="str">
        <f>IFERROR(__xludf.DUMMYFUNCTION("regexreplace(G1492, ""_"", """")"),"")</f>
        <v/>
      </c>
      <c r="L1492" s="12"/>
      <c r="M1492" s="12"/>
    </row>
    <row r="1493">
      <c r="A1493" s="68" t="s">
        <v>4607</v>
      </c>
      <c r="B1493" s="68" t="s">
        <v>3779</v>
      </c>
      <c r="C1493" s="68" t="s">
        <v>5757</v>
      </c>
      <c r="D1493" s="68" t="s">
        <v>29</v>
      </c>
      <c r="E1493" s="70" t="s">
        <v>5758</v>
      </c>
      <c r="F1493" s="71">
        <f t="shared" ref="F1493:F1502" si="65">counta(L1493:M1493)</f>
        <v>2</v>
      </c>
      <c r="G1493" s="68" t="s">
        <v>5759</v>
      </c>
      <c r="H1493" s="70"/>
      <c r="I1493" s="7" t="str">
        <f>IFERROR(__xludf.DUMMYFUNCTION("regexreplace(lower(C1493), ""_"", """")"),"firstvisitdate")</f>
        <v>firstvisitdate</v>
      </c>
      <c r="J1493" s="9" t="b">
        <f t="shared" si="2"/>
        <v>1</v>
      </c>
      <c r="K1493" s="7" t="str">
        <f>IFERROR(__xludf.DUMMYFUNCTION("regexreplace(G1493, ""_"", """")"),"firstvisitdate")</f>
        <v>firstvisitdate</v>
      </c>
      <c r="L1493" s="70" t="s">
        <v>5760</v>
      </c>
      <c r="M1493" s="70" t="s">
        <v>5760</v>
      </c>
    </row>
    <row r="1494">
      <c r="A1494" s="70"/>
      <c r="B1494" s="68" t="s">
        <v>3779</v>
      </c>
      <c r="C1494" s="68" t="s">
        <v>5761</v>
      </c>
      <c r="D1494" s="68" t="s">
        <v>29</v>
      </c>
      <c r="E1494" s="70" t="s">
        <v>5762</v>
      </c>
      <c r="F1494" s="71">
        <f t="shared" si="65"/>
        <v>2</v>
      </c>
      <c r="G1494" s="68" t="s">
        <v>5763</v>
      </c>
      <c r="H1494" s="70"/>
      <c r="I1494" s="7" t="str">
        <f>IFERROR(__xludf.DUMMYFUNCTION("regexreplace(lower(C1494), ""_"", """")"),"finalvisitdate")</f>
        <v>finalvisitdate</v>
      </c>
      <c r="J1494" s="9" t="b">
        <f t="shared" si="2"/>
        <v>1</v>
      </c>
      <c r="K1494" s="7" t="str">
        <f>IFERROR(__xludf.DUMMYFUNCTION("regexreplace(G1494, ""_"", """")"),"finalvisitdate")</f>
        <v>finalvisitdate</v>
      </c>
      <c r="L1494" s="70" t="s">
        <v>5764</v>
      </c>
      <c r="M1494" s="70" t="s">
        <v>5764</v>
      </c>
    </row>
    <row r="1495">
      <c r="A1495" s="70"/>
      <c r="B1495" s="68" t="s">
        <v>3779</v>
      </c>
      <c r="C1495" s="68"/>
      <c r="D1495" s="68" t="s">
        <v>43</v>
      </c>
      <c r="E1495" s="70" t="s">
        <v>5765</v>
      </c>
      <c r="F1495" s="71">
        <f t="shared" si="65"/>
        <v>2</v>
      </c>
      <c r="G1495" s="70" t="s">
        <v>913</v>
      </c>
      <c r="H1495" s="70"/>
      <c r="I1495" s="7" t="str">
        <f>IFERROR(__xludf.DUMMYFUNCTION("regexreplace(lower(C1495), ""_"", """")"),"")</f>
        <v/>
      </c>
      <c r="J1495" s="9" t="str">
        <f t="shared" si="2"/>
        <v/>
      </c>
      <c r="K1495" s="7" t="str">
        <f>IFERROR(__xludf.DUMMYFUNCTION("regexreplace(G1495, ""_"", """")"),"")</f>
        <v/>
      </c>
      <c r="L1495" s="70" t="s">
        <v>5766</v>
      </c>
      <c r="M1495" s="70" t="s">
        <v>5766</v>
      </c>
    </row>
    <row r="1496">
      <c r="A1496" s="70"/>
      <c r="B1496" s="68" t="s">
        <v>3779</v>
      </c>
      <c r="C1496" s="68"/>
      <c r="D1496" s="68" t="s">
        <v>43</v>
      </c>
      <c r="E1496" s="70" t="s">
        <v>5767</v>
      </c>
      <c r="F1496" s="71">
        <f t="shared" si="65"/>
        <v>2</v>
      </c>
      <c r="G1496" s="70" t="s">
        <v>913</v>
      </c>
      <c r="H1496" s="70"/>
      <c r="I1496" s="7" t="str">
        <f>IFERROR(__xludf.DUMMYFUNCTION("regexreplace(lower(C1496), ""_"", """")"),"")</f>
        <v/>
      </c>
      <c r="J1496" s="9" t="str">
        <f t="shared" si="2"/>
        <v/>
      </c>
      <c r="K1496" s="7" t="str">
        <f>IFERROR(__xludf.DUMMYFUNCTION("regexreplace(G1496, ""_"", """")"),"")</f>
        <v/>
      </c>
      <c r="L1496" s="70" t="s">
        <v>5768</v>
      </c>
      <c r="M1496" s="70" t="s">
        <v>5768</v>
      </c>
    </row>
    <row r="1497">
      <c r="A1497" s="70"/>
      <c r="B1497" s="68" t="s">
        <v>3779</v>
      </c>
      <c r="C1497" s="68"/>
      <c r="D1497" s="68" t="s">
        <v>43</v>
      </c>
      <c r="E1497" s="70" t="s">
        <v>5769</v>
      </c>
      <c r="F1497" s="71">
        <f t="shared" si="65"/>
        <v>2</v>
      </c>
      <c r="G1497" s="70" t="s">
        <v>913</v>
      </c>
      <c r="H1497" s="70"/>
      <c r="I1497" s="7" t="str">
        <f>IFERROR(__xludf.DUMMYFUNCTION("regexreplace(lower(C1497), ""_"", """")"),"")</f>
        <v/>
      </c>
      <c r="J1497" s="9" t="str">
        <f t="shared" si="2"/>
        <v/>
      </c>
      <c r="K1497" s="7" t="str">
        <f>IFERROR(__xludf.DUMMYFUNCTION("regexreplace(G1497, ""_"", """")"),"")</f>
        <v/>
      </c>
      <c r="L1497" s="70" t="s">
        <v>5770</v>
      </c>
      <c r="M1497" s="70" t="s">
        <v>5770</v>
      </c>
    </row>
    <row r="1498">
      <c r="A1498" s="70"/>
      <c r="B1498" s="68" t="s">
        <v>3779</v>
      </c>
      <c r="C1498" s="68"/>
      <c r="D1498" s="68" t="s">
        <v>43</v>
      </c>
      <c r="E1498" s="70" t="s">
        <v>5771</v>
      </c>
      <c r="F1498" s="71">
        <f t="shared" si="65"/>
        <v>2</v>
      </c>
      <c r="G1498" s="70" t="s">
        <v>913</v>
      </c>
      <c r="H1498" s="70"/>
      <c r="I1498" s="7" t="str">
        <f>IFERROR(__xludf.DUMMYFUNCTION("regexreplace(lower(C1498), ""_"", """")"),"")</f>
        <v/>
      </c>
      <c r="J1498" s="9" t="str">
        <f t="shared" si="2"/>
        <v/>
      </c>
      <c r="K1498" s="7" t="str">
        <f>IFERROR(__xludf.DUMMYFUNCTION("regexreplace(G1498, ""_"", """")"),"")</f>
        <v/>
      </c>
      <c r="L1498" s="70" t="s">
        <v>5772</v>
      </c>
      <c r="M1498" s="70" t="s">
        <v>5772</v>
      </c>
    </row>
    <row r="1499">
      <c r="A1499" s="70"/>
      <c r="B1499" s="68" t="s">
        <v>3779</v>
      </c>
      <c r="C1499" s="68"/>
      <c r="D1499" s="68" t="s">
        <v>43</v>
      </c>
      <c r="E1499" s="70" t="s">
        <v>5773</v>
      </c>
      <c r="F1499" s="71">
        <f t="shared" si="65"/>
        <v>2</v>
      </c>
      <c r="G1499" s="70" t="s">
        <v>913</v>
      </c>
      <c r="H1499" s="70"/>
      <c r="I1499" s="7" t="str">
        <f>IFERROR(__xludf.DUMMYFUNCTION("regexreplace(lower(C1499), ""_"", """")"),"")</f>
        <v/>
      </c>
      <c r="J1499" s="9" t="str">
        <f t="shared" si="2"/>
        <v/>
      </c>
      <c r="K1499" s="7" t="str">
        <f>IFERROR(__xludf.DUMMYFUNCTION("regexreplace(G1499, ""_"", """")"),"")</f>
        <v/>
      </c>
      <c r="L1499" s="70" t="s">
        <v>5774</v>
      </c>
      <c r="M1499" s="70" t="s">
        <v>5774</v>
      </c>
    </row>
    <row r="1500">
      <c r="A1500" s="70"/>
      <c r="B1500" s="68" t="s">
        <v>3779</v>
      </c>
      <c r="C1500" s="68"/>
      <c r="D1500" s="68" t="s">
        <v>43</v>
      </c>
      <c r="E1500" s="70" t="s">
        <v>5775</v>
      </c>
      <c r="F1500" s="71">
        <f t="shared" si="65"/>
        <v>2</v>
      </c>
      <c r="G1500" s="70" t="s">
        <v>913</v>
      </c>
      <c r="H1500" s="70"/>
      <c r="I1500" s="7" t="str">
        <f>IFERROR(__xludf.DUMMYFUNCTION("regexreplace(lower(C1500), ""_"", """")"),"")</f>
        <v/>
      </c>
      <c r="J1500" s="9" t="str">
        <f t="shared" si="2"/>
        <v/>
      </c>
      <c r="K1500" s="7" t="str">
        <f>IFERROR(__xludf.DUMMYFUNCTION("regexreplace(G1500, ""_"", """")"),"")</f>
        <v/>
      </c>
      <c r="L1500" s="70" t="s">
        <v>5776</v>
      </c>
      <c r="M1500" s="70" t="s">
        <v>5776</v>
      </c>
    </row>
    <row r="1501">
      <c r="A1501" s="70"/>
      <c r="B1501" s="68" t="s">
        <v>3779</v>
      </c>
      <c r="C1501" s="68"/>
      <c r="D1501" s="68" t="s">
        <v>43</v>
      </c>
      <c r="E1501" s="70" t="s">
        <v>5777</v>
      </c>
      <c r="F1501" s="71">
        <f t="shared" si="65"/>
        <v>2</v>
      </c>
      <c r="G1501" s="70" t="s">
        <v>913</v>
      </c>
      <c r="H1501" s="70"/>
      <c r="I1501" s="7" t="str">
        <f>IFERROR(__xludf.DUMMYFUNCTION("regexreplace(lower(C1501), ""_"", """")"),"")</f>
        <v/>
      </c>
      <c r="J1501" s="9" t="str">
        <f t="shared" si="2"/>
        <v/>
      </c>
      <c r="K1501" s="7" t="str">
        <f>IFERROR(__xludf.DUMMYFUNCTION("regexreplace(G1501, ""_"", """")"),"")</f>
        <v/>
      </c>
      <c r="L1501" s="70" t="s">
        <v>5778</v>
      </c>
      <c r="M1501" s="70" t="s">
        <v>5778</v>
      </c>
    </row>
    <row r="1502">
      <c r="A1502" s="70"/>
      <c r="B1502" s="68" t="s">
        <v>3779</v>
      </c>
      <c r="C1502" s="68"/>
      <c r="D1502" s="68" t="s">
        <v>43</v>
      </c>
      <c r="E1502" s="70" t="s">
        <v>5779</v>
      </c>
      <c r="F1502" s="71">
        <f t="shared" si="65"/>
        <v>2</v>
      </c>
      <c r="G1502" s="70" t="s">
        <v>913</v>
      </c>
      <c r="H1502" s="70"/>
      <c r="I1502" s="7" t="str">
        <f>IFERROR(__xludf.DUMMYFUNCTION("regexreplace(lower(C1502), ""_"", """")"),"")</f>
        <v/>
      </c>
      <c r="J1502" s="9" t="str">
        <f t="shared" si="2"/>
        <v/>
      </c>
      <c r="K1502" s="7" t="str">
        <f>IFERROR(__xludf.DUMMYFUNCTION("regexreplace(G1502, ""_"", """")"),"")</f>
        <v/>
      </c>
      <c r="L1502" s="70" t="s">
        <v>5780</v>
      </c>
      <c r="M1502" s="70" t="s">
        <v>5780</v>
      </c>
    </row>
    <row r="1503">
      <c r="A1503" s="12"/>
      <c r="B1503" s="12"/>
      <c r="C1503" s="13"/>
      <c r="D1503" s="12"/>
      <c r="E1503" s="12"/>
      <c r="F1503" s="12"/>
      <c r="G1503" s="12" t="s">
        <v>913</v>
      </c>
      <c r="H1503" s="12"/>
      <c r="I1503" s="7" t="str">
        <f>IFERROR(__xludf.DUMMYFUNCTION("regexreplace(lower(C1503), ""_"", """")"),"")</f>
        <v/>
      </c>
      <c r="J1503" s="9" t="str">
        <f t="shared" si="2"/>
        <v/>
      </c>
      <c r="K1503" s="7" t="str">
        <f>IFERROR(__xludf.DUMMYFUNCTION("regexreplace(G1503, ""_"", """")"),"")</f>
        <v/>
      </c>
      <c r="L1503" s="12"/>
      <c r="M1503" s="12"/>
    </row>
    <row r="1504">
      <c r="A1504" s="68" t="s">
        <v>4607</v>
      </c>
      <c r="B1504" s="68" t="s">
        <v>5781</v>
      </c>
      <c r="C1504" s="68" t="s">
        <v>5782</v>
      </c>
      <c r="D1504" s="68" t="s">
        <v>43</v>
      </c>
      <c r="E1504" s="70" t="s">
        <v>5783</v>
      </c>
      <c r="F1504" s="71">
        <f t="shared" ref="F1504:F1543" si="66">counta(L1504:M1504)</f>
        <v>2</v>
      </c>
      <c r="G1504" s="68" t="s">
        <v>5784</v>
      </c>
      <c r="H1504" s="70"/>
      <c r="I1504" s="7" t="str">
        <f>IFERROR(__xludf.DUMMYFUNCTION("regexreplace(lower(C1504), ""_"", """")"),"lostfollowupinformationavailableindirectsrc")</f>
        <v>lostfollowupinformationavailableindirectsrc</v>
      </c>
      <c r="J1504" s="9" t="b">
        <f t="shared" si="2"/>
        <v>1</v>
      </c>
      <c r="K1504" s="7" t="str">
        <f>IFERROR(__xludf.DUMMYFUNCTION("regexreplace(G1504, ""_"", """")"),"lostfollowupinformationavailableindirectsrc")</f>
        <v>lostfollowupinformationavailableindirectsrc</v>
      </c>
      <c r="L1504" s="70" t="s">
        <v>5785</v>
      </c>
      <c r="M1504" s="70" t="s">
        <v>5785</v>
      </c>
    </row>
    <row r="1505">
      <c r="A1505" s="70"/>
      <c r="B1505" s="68" t="s">
        <v>5781</v>
      </c>
      <c r="C1505" s="68" t="s">
        <v>5786</v>
      </c>
      <c r="D1505" s="68" t="s">
        <v>29</v>
      </c>
      <c r="E1505" s="70" t="s">
        <v>5787</v>
      </c>
      <c r="F1505" s="71">
        <f t="shared" si="66"/>
        <v>2</v>
      </c>
      <c r="G1505" s="68" t="s">
        <v>5788</v>
      </c>
      <c r="H1505" s="70"/>
      <c r="I1505" s="7" t="str">
        <f>IFERROR(__xludf.DUMMYFUNCTION("regexreplace(lower(C1505), ""_"", """")"),"lostfollowuplastcontactdate")</f>
        <v>lostfollowuplastcontactdate</v>
      </c>
      <c r="J1505" s="9" t="b">
        <f t="shared" si="2"/>
        <v>1</v>
      </c>
      <c r="K1505" s="7" t="str">
        <f>IFERROR(__xludf.DUMMYFUNCTION("regexreplace(G1505, ""_"", """")"),"lostfollowuplastcontactdate")</f>
        <v>lostfollowuplastcontactdate</v>
      </c>
      <c r="L1505" s="70" t="s">
        <v>5789</v>
      </c>
      <c r="M1505" s="70" t="s">
        <v>5789</v>
      </c>
    </row>
    <row r="1506">
      <c r="A1506" s="70"/>
      <c r="B1506" s="68" t="s">
        <v>5781</v>
      </c>
      <c r="C1506" s="68" t="s">
        <v>5790</v>
      </c>
      <c r="D1506" s="68" t="s">
        <v>29</v>
      </c>
      <c r="E1506" s="70" t="s">
        <v>5791</v>
      </c>
      <c r="F1506" s="71">
        <f t="shared" si="66"/>
        <v>2</v>
      </c>
      <c r="G1506" s="68" t="s">
        <v>5792</v>
      </c>
      <c r="H1506" s="70"/>
      <c r="I1506" s="7" t="str">
        <f>IFERROR(__xludf.DUMMYFUNCTION("regexreplace(lower(C1506), ""_"", """")"),"lostfollowupformcompletedate")</f>
        <v>lostfollowupformcompletedate</v>
      </c>
      <c r="J1506" s="9" t="b">
        <f t="shared" si="2"/>
        <v>1</v>
      </c>
      <c r="K1506" s="7" t="str">
        <f>IFERROR(__xludf.DUMMYFUNCTION("regexreplace(G1506, ""_"", """")"),"lostfollowupformcompletedate")</f>
        <v>lostfollowupformcompletedate</v>
      </c>
      <c r="L1506" s="70" t="s">
        <v>5793</v>
      </c>
      <c r="M1506" s="70" t="s">
        <v>5793</v>
      </c>
    </row>
    <row r="1507">
      <c r="A1507" s="70"/>
      <c r="B1507" s="68" t="s">
        <v>5781</v>
      </c>
      <c r="C1507" s="68" t="s">
        <v>5794</v>
      </c>
      <c r="D1507" s="68" t="s">
        <v>43</v>
      </c>
      <c r="E1507" s="70" t="s">
        <v>5795</v>
      </c>
      <c r="F1507" s="71">
        <f t="shared" si="66"/>
        <v>2</v>
      </c>
      <c r="G1507" s="68" t="s">
        <v>5796</v>
      </c>
      <c r="H1507" s="70"/>
      <c r="I1507" s="7" t="str">
        <f>IFERROR(__xludf.DUMMYFUNCTION("regexreplace(lower(C1507), ""_"", """")"),"lostfollowupchildalive")</f>
        <v>lostfollowupchildalive</v>
      </c>
      <c r="J1507" s="9" t="b">
        <f t="shared" si="2"/>
        <v>1</v>
      </c>
      <c r="K1507" s="7" t="str">
        <f>IFERROR(__xludf.DUMMYFUNCTION("regexreplace(G1507, ""_"", """")"),"lostfollowupchildalive")</f>
        <v>lostfollowupchildalive</v>
      </c>
      <c r="L1507" s="70" t="s">
        <v>5797</v>
      </c>
      <c r="M1507" s="70" t="s">
        <v>5797</v>
      </c>
    </row>
    <row r="1508">
      <c r="A1508" s="70"/>
      <c r="B1508" s="68" t="s">
        <v>5781</v>
      </c>
      <c r="C1508" s="68" t="s">
        <v>5798</v>
      </c>
      <c r="D1508" s="68" t="s">
        <v>34</v>
      </c>
      <c r="E1508" s="70" t="s">
        <v>5799</v>
      </c>
      <c r="F1508" s="71">
        <f t="shared" si="66"/>
        <v>2</v>
      </c>
      <c r="G1508" s="68" t="s">
        <v>5800</v>
      </c>
      <c r="H1508" s="70"/>
      <c r="I1508" s="7" t="str">
        <f>IFERROR(__xludf.DUMMYFUNCTION("regexreplace(lower(C1508), ""_"", """")"),"lostfollowuplastknownalivecorrectedagemo")</f>
        <v>lostfollowuplastknownalivecorrectedagemo</v>
      </c>
      <c r="J1508" s="9" t="b">
        <f t="shared" si="2"/>
        <v>1</v>
      </c>
      <c r="K1508" s="7" t="str">
        <f>IFERROR(__xludf.DUMMYFUNCTION("regexreplace(G1508, ""_"", """")"),"lostfollowuplastknownalivecorrectedagemo")</f>
        <v>lostfollowuplastknownalivecorrectedagemo</v>
      </c>
      <c r="L1508" s="70" t="s">
        <v>5801</v>
      </c>
      <c r="M1508" s="70" t="s">
        <v>5801</v>
      </c>
    </row>
    <row r="1509">
      <c r="A1509" s="70"/>
      <c r="B1509" s="68" t="s">
        <v>5781</v>
      </c>
      <c r="C1509" s="68" t="s">
        <v>5802</v>
      </c>
      <c r="D1509" s="68" t="s">
        <v>29</v>
      </c>
      <c r="E1509" s="70" t="s">
        <v>5803</v>
      </c>
      <c r="F1509" s="71">
        <f t="shared" si="66"/>
        <v>2</v>
      </c>
      <c r="G1509" s="68" t="s">
        <v>5804</v>
      </c>
      <c r="H1509" s="70"/>
      <c r="I1509" s="7" t="str">
        <f>IFERROR(__xludf.DUMMYFUNCTION("regexreplace(lower(C1509), ""_"", """")"),"lostfollowupdeathdate")</f>
        <v>lostfollowupdeathdate</v>
      </c>
      <c r="J1509" s="9" t="b">
        <f t="shared" si="2"/>
        <v>1</v>
      </c>
      <c r="K1509" s="7" t="str">
        <f>IFERROR(__xludf.DUMMYFUNCTION("regexreplace(G1509, ""_"", """")"),"lostfollowupdeathdate")</f>
        <v>lostfollowupdeathdate</v>
      </c>
      <c r="L1509" s="70" t="s">
        <v>5805</v>
      </c>
      <c r="M1509" s="70" t="s">
        <v>5805</v>
      </c>
    </row>
    <row r="1510">
      <c r="A1510" s="70"/>
      <c r="B1510" s="68" t="s">
        <v>5781</v>
      </c>
      <c r="C1510" s="68" t="s">
        <v>5806</v>
      </c>
      <c r="D1510" s="68" t="s">
        <v>43</v>
      </c>
      <c r="E1510" s="70" t="s">
        <v>5807</v>
      </c>
      <c r="F1510" s="71">
        <f t="shared" si="66"/>
        <v>2</v>
      </c>
      <c r="G1510" s="68" t="s">
        <v>5808</v>
      </c>
      <c r="H1510" s="70"/>
      <c r="I1510" s="7" t="str">
        <f>IFERROR(__xludf.DUMMYFUNCTION("regexreplace(lower(C1510), ""_"", """")"),"lostfollowupinterview")</f>
        <v>lostfollowupinterview</v>
      </c>
      <c r="J1510" s="9" t="b">
        <f t="shared" si="2"/>
        <v>1</v>
      </c>
      <c r="K1510" s="7" t="str">
        <f>IFERROR(__xludf.DUMMYFUNCTION("regexreplace(G1510, ""_"", """")"),"lostfollowupinterview")</f>
        <v>lostfollowupinterview</v>
      </c>
      <c r="L1510" s="70" t="s">
        <v>5809</v>
      </c>
      <c r="M1510" s="70" t="s">
        <v>5809</v>
      </c>
    </row>
    <row r="1511">
      <c r="A1511" s="70"/>
      <c r="B1511" s="68" t="s">
        <v>5781</v>
      </c>
      <c r="C1511" s="68" t="s">
        <v>5810</v>
      </c>
      <c r="D1511" s="68" t="s">
        <v>29</v>
      </c>
      <c r="E1511" s="70" t="s">
        <v>5811</v>
      </c>
      <c r="F1511" s="71">
        <f t="shared" si="66"/>
        <v>2</v>
      </c>
      <c r="G1511" s="68" t="s">
        <v>5812</v>
      </c>
      <c r="H1511" s="70"/>
      <c r="I1511" s="7" t="str">
        <f>IFERROR(__xludf.DUMMYFUNCTION("regexreplace(lower(C1511), ""_"", """")"),"lostfollowupinterviewdate")</f>
        <v>lostfollowupinterviewdate</v>
      </c>
      <c r="J1511" s="9" t="b">
        <f t="shared" si="2"/>
        <v>1</v>
      </c>
      <c r="K1511" s="7" t="str">
        <f>IFERROR(__xludf.DUMMYFUNCTION("regexreplace(G1511, ""_"", """")"),"lostfollowupinterviewdate")</f>
        <v>lostfollowupinterviewdate</v>
      </c>
      <c r="L1511" s="70" t="s">
        <v>5813</v>
      </c>
      <c r="M1511" s="70" t="s">
        <v>5813</v>
      </c>
    </row>
    <row r="1512">
      <c r="A1512" s="70"/>
      <c r="B1512" s="68" t="s">
        <v>5781</v>
      </c>
      <c r="C1512" s="68" t="s">
        <v>5814</v>
      </c>
      <c r="D1512" s="68" t="s">
        <v>34</v>
      </c>
      <c r="E1512" s="70" t="s">
        <v>5815</v>
      </c>
      <c r="F1512" s="71">
        <f t="shared" si="66"/>
        <v>2</v>
      </c>
      <c r="G1512" s="68" t="s">
        <v>5816</v>
      </c>
      <c r="H1512" s="70"/>
      <c r="I1512" s="7" t="str">
        <f>IFERROR(__xludf.DUMMYFUNCTION("regexreplace(lower(C1512), ""_"", """")"),"lostfollowupinterviewcorrectedagemo")</f>
        <v>lostfollowupinterviewcorrectedagemo</v>
      </c>
      <c r="J1512" s="9" t="b">
        <f t="shared" si="2"/>
        <v>1</v>
      </c>
      <c r="K1512" s="7" t="str">
        <f>IFERROR(__xludf.DUMMYFUNCTION("regexreplace(G1512, ""_"", """")"),"lostfollowupinterviewcorrectedagemo")</f>
        <v>lostfollowupinterviewcorrectedagemo</v>
      </c>
      <c r="L1512" s="70" t="s">
        <v>5817</v>
      </c>
      <c r="M1512" s="70" t="s">
        <v>5817</v>
      </c>
    </row>
    <row r="1513">
      <c r="A1513" s="70"/>
      <c r="B1513" s="68" t="s">
        <v>5781</v>
      </c>
      <c r="C1513" s="68" t="s">
        <v>5818</v>
      </c>
      <c r="D1513" s="68" t="s">
        <v>43</v>
      </c>
      <c r="E1513" s="70" t="s">
        <v>5819</v>
      </c>
      <c r="F1513" s="71">
        <f t="shared" si="66"/>
        <v>2</v>
      </c>
      <c r="G1513" s="68" t="s">
        <v>5820</v>
      </c>
      <c r="H1513" s="70"/>
      <c r="I1513" s="7" t="str">
        <f>IFERROR(__xludf.DUMMYFUNCTION("regexreplace(lower(C1513), ""_"", """")"),"lostfollowupanyquestioncompletechartreview")</f>
        <v>lostfollowupanyquestioncompletechartreview</v>
      </c>
      <c r="J1513" s="9" t="b">
        <f t="shared" si="2"/>
        <v>1</v>
      </c>
      <c r="K1513" s="7" t="str">
        <f>IFERROR(__xludf.DUMMYFUNCTION("regexreplace(G1513, ""_"", """")"),"lostfollowupanyquestioncompletechartreview")</f>
        <v>lostfollowupanyquestioncompletechartreview</v>
      </c>
      <c r="L1513" s="70" t="s">
        <v>5821</v>
      </c>
      <c r="M1513" s="70" t="s">
        <v>5821</v>
      </c>
    </row>
    <row r="1514">
      <c r="A1514" s="70"/>
      <c r="B1514" s="68" t="s">
        <v>5781</v>
      </c>
      <c r="C1514" s="68" t="s">
        <v>5822</v>
      </c>
      <c r="D1514" s="68" t="s">
        <v>29</v>
      </c>
      <c r="E1514" s="70" t="s">
        <v>5823</v>
      </c>
      <c r="F1514" s="71">
        <f t="shared" si="66"/>
        <v>2</v>
      </c>
      <c r="G1514" s="68" t="s">
        <v>5824</v>
      </c>
      <c r="H1514" s="70"/>
      <c r="I1514" s="7" t="str">
        <f>IFERROR(__xludf.DUMMYFUNCTION("regexreplace(lower(C1514), ""_"", """")"),"lostfollowupchartreviewdate")</f>
        <v>lostfollowupchartreviewdate</v>
      </c>
      <c r="J1514" s="9" t="b">
        <f t="shared" si="2"/>
        <v>1</v>
      </c>
      <c r="K1514" s="7" t="str">
        <f>IFERROR(__xludf.DUMMYFUNCTION("regexreplace(G1514, ""_"", """")"),"lostfollowupchartreviewdate")</f>
        <v>lostfollowupchartreviewdate</v>
      </c>
      <c r="L1514" s="70" t="s">
        <v>5825</v>
      </c>
      <c r="M1514" s="70" t="s">
        <v>5825</v>
      </c>
    </row>
    <row r="1515">
      <c r="A1515" s="70"/>
      <c r="B1515" s="68" t="s">
        <v>5781</v>
      </c>
      <c r="C1515" s="68" t="s">
        <v>5826</v>
      </c>
      <c r="D1515" s="68" t="s">
        <v>34</v>
      </c>
      <c r="E1515" s="70" t="s">
        <v>5827</v>
      </c>
      <c r="F1515" s="71">
        <f t="shared" si="66"/>
        <v>2</v>
      </c>
      <c r="G1515" s="68" t="s">
        <v>5828</v>
      </c>
      <c r="H1515" s="70"/>
      <c r="I1515" s="7" t="str">
        <f>IFERROR(__xludf.DUMMYFUNCTION("regexreplace(lower(C1515), ""_"", """")"),"lostfollowupchartreviewcorrectedagemo")</f>
        <v>lostfollowupchartreviewcorrectedagemo</v>
      </c>
      <c r="J1515" s="9" t="b">
        <f t="shared" si="2"/>
        <v>1</v>
      </c>
      <c r="K1515" s="7" t="str">
        <f>IFERROR(__xludf.DUMMYFUNCTION("regexreplace(G1515, ""_"", """")"),"lostfollowupchartreviewcorrectedagemo")</f>
        <v>lostfollowupchartreviewcorrectedagemo</v>
      </c>
      <c r="L1515" s="70" t="s">
        <v>5829</v>
      </c>
      <c r="M1515" s="70" t="s">
        <v>5829</v>
      </c>
    </row>
    <row r="1516">
      <c r="A1516" s="70"/>
      <c r="B1516" s="68" t="s">
        <v>5781</v>
      </c>
      <c r="C1516" s="68" t="s">
        <v>5830</v>
      </c>
      <c r="D1516" s="68" t="s">
        <v>5831</v>
      </c>
      <c r="E1516" s="70" t="s">
        <v>5832</v>
      </c>
      <c r="F1516" s="71">
        <f t="shared" si="66"/>
        <v>2</v>
      </c>
      <c r="G1516" s="68" t="s">
        <v>5833</v>
      </c>
      <c r="H1516" s="70"/>
      <c r="I1516" s="7" t="str">
        <f>IFERROR(__xludf.DUMMYFUNCTION("regexreplace(lower(C1516), ""_"", """")"),"interviewchildhealth")</f>
        <v>interviewchildhealth</v>
      </c>
      <c r="J1516" s="9" t="b">
        <f t="shared" si="2"/>
        <v>1</v>
      </c>
      <c r="K1516" s="7" t="str">
        <f>IFERROR(__xludf.DUMMYFUNCTION("regexreplace(G1516, ""_"", """")"),"interviewchildhealth")</f>
        <v>interviewchildhealth</v>
      </c>
      <c r="L1516" s="70" t="s">
        <v>5834</v>
      </c>
      <c r="M1516" s="70" t="s">
        <v>5834</v>
      </c>
    </row>
    <row r="1517">
      <c r="A1517" s="70"/>
      <c r="B1517" s="68" t="s">
        <v>5781</v>
      </c>
      <c r="C1517" s="68" t="s">
        <v>5835</v>
      </c>
      <c r="D1517" s="68" t="s">
        <v>43</v>
      </c>
      <c r="E1517" s="70" t="s">
        <v>5836</v>
      </c>
      <c r="F1517" s="71">
        <f t="shared" si="66"/>
        <v>2</v>
      </c>
      <c r="G1517" s="68" t="s">
        <v>5837</v>
      </c>
      <c r="H1517" s="70"/>
      <c r="I1517" s="7" t="str">
        <f>IFERROR(__xludf.DUMMYFUNCTION("regexreplace(lower(C1517), ""_"", """")"),"interviewwalkalone")</f>
        <v>interviewwalkalone</v>
      </c>
      <c r="J1517" s="9" t="b">
        <f t="shared" si="2"/>
        <v>1</v>
      </c>
      <c r="K1517" s="7" t="str">
        <f>IFERROR(__xludf.DUMMYFUNCTION("regexreplace(G1517, ""_"", """")"),"interviewwalkalone")</f>
        <v>interviewwalkalone</v>
      </c>
      <c r="L1517" s="70" t="s">
        <v>5838</v>
      </c>
      <c r="M1517" s="70" t="s">
        <v>5838</v>
      </c>
    </row>
    <row r="1518">
      <c r="A1518" s="70"/>
      <c r="B1518" s="68" t="s">
        <v>5781</v>
      </c>
      <c r="C1518" s="68" t="s">
        <v>5839</v>
      </c>
      <c r="D1518" s="68" t="s">
        <v>34</v>
      </c>
      <c r="E1518" s="70" t="s">
        <v>5840</v>
      </c>
      <c r="F1518" s="71">
        <f t="shared" si="66"/>
        <v>2</v>
      </c>
      <c r="G1518" s="68" t="s">
        <v>5841</v>
      </c>
      <c r="H1518" s="70"/>
      <c r="I1518" s="7" t="str">
        <f>IFERROR(__xludf.DUMMYFUNCTION("regexreplace(lower(C1518), ""_"", """")"),"interviewwalkaloneagemo")</f>
        <v>interviewwalkaloneagemo</v>
      </c>
      <c r="J1518" s="9" t="b">
        <f t="shared" si="2"/>
        <v>1</v>
      </c>
      <c r="K1518" s="7" t="str">
        <f>IFERROR(__xludf.DUMMYFUNCTION("regexreplace(G1518, ""_"", """")"),"interviewwalkaloneagemo")</f>
        <v>interviewwalkaloneagemo</v>
      </c>
      <c r="L1518" s="70" t="s">
        <v>5842</v>
      </c>
      <c r="M1518" s="70" t="s">
        <v>5842</v>
      </c>
    </row>
    <row r="1519">
      <c r="A1519" s="70"/>
      <c r="B1519" s="68" t="s">
        <v>5781</v>
      </c>
      <c r="C1519" s="68" t="s">
        <v>5843</v>
      </c>
      <c r="D1519" s="68" t="s">
        <v>43</v>
      </c>
      <c r="E1519" s="70" t="s">
        <v>5844</v>
      </c>
      <c r="F1519" s="71">
        <f t="shared" si="66"/>
        <v>2</v>
      </c>
      <c r="G1519" s="68" t="s">
        <v>5845</v>
      </c>
      <c r="H1519" s="70"/>
      <c r="I1519" s="7" t="str">
        <f>IFERROR(__xludf.DUMMYFUNCTION("regexreplace(lower(C1519), ""_"", """")"),"interviewsittingalong")</f>
        <v>interviewsittingalong</v>
      </c>
      <c r="J1519" s="9" t="b">
        <f t="shared" si="2"/>
        <v>1</v>
      </c>
      <c r="K1519" s="7" t="str">
        <f>IFERROR(__xludf.DUMMYFUNCTION("regexreplace(G1519, ""_"", """")"),"interviewsittingalong")</f>
        <v>interviewsittingalong</v>
      </c>
      <c r="L1519" s="70" t="s">
        <v>5846</v>
      </c>
      <c r="M1519" s="70" t="s">
        <v>5846</v>
      </c>
    </row>
    <row r="1520">
      <c r="A1520" s="70"/>
      <c r="B1520" s="68" t="s">
        <v>5781</v>
      </c>
      <c r="C1520" s="68" t="s">
        <v>5847</v>
      </c>
      <c r="D1520" s="68" t="s">
        <v>43</v>
      </c>
      <c r="E1520" s="70" t="s">
        <v>5848</v>
      </c>
      <c r="F1520" s="71">
        <f t="shared" si="66"/>
        <v>2</v>
      </c>
      <c r="G1520" s="68" t="s">
        <v>5849</v>
      </c>
      <c r="H1520" s="70"/>
      <c r="I1520" s="7" t="str">
        <f>IFERROR(__xludf.DUMMYFUNCTION("regexreplace(lower(C1520), ""_"", """")"),"interviewheadcontrol")</f>
        <v>interviewheadcontrol</v>
      </c>
      <c r="J1520" s="9" t="b">
        <f t="shared" si="2"/>
        <v>1</v>
      </c>
      <c r="K1520" s="7" t="str">
        <f>IFERROR(__xludf.DUMMYFUNCTION("regexreplace(G1520, ""_"", """")"),"interviewheadcontrol")</f>
        <v>interviewheadcontrol</v>
      </c>
      <c r="L1520" s="70" t="s">
        <v>5850</v>
      </c>
      <c r="M1520" s="70" t="s">
        <v>5850</v>
      </c>
    </row>
    <row r="1521">
      <c r="A1521" s="70"/>
      <c r="B1521" s="68" t="s">
        <v>5781</v>
      </c>
      <c r="C1521" s="68" t="s">
        <v>5851</v>
      </c>
      <c r="D1521" s="68" t="s">
        <v>43</v>
      </c>
      <c r="E1521" s="70" t="s">
        <v>5852</v>
      </c>
      <c r="F1521" s="71">
        <f t="shared" si="66"/>
        <v>2</v>
      </c>
      <c r="G1521" s="68" t="s">
        <v>5853</v>
      </c>
      <c r="H1521" s="70"/>
      <c r="I1521" s="7" t="str">
        <f>IFERROR(__xludf.DUMMYFUNCTION("regexreplace(lower(C1521), ""_"", """")"),"interviewsee")</f>
        <v>interviewsee</v>
      </c>
      <c r="J1521" s="9" t="b">
        <f t="shared" si="2"/>
        <v>1</v>
      </c>
      <c r="K1521" s="7" t="str">
        <f>IFERROR(__xludf.DUMMYFUNCTION("regexreplace(G1521, ""_"", """")"),"interviewsee")</f>
        <v>interviewsee</v>
      </c>
      <c r="L1521" s="70" t="s">
        <v>5854</v>
      </c>
      <c r="M1521" s="70" t="s">
        <v>5854</v>
      </c>
    </row>
    <row r="1522">
      <c r="A1522" s="70"/>
      <c r="B1522" s="68" t="s">
        <v>5781</v>
      </c>
      <c r="C1522" s="68" t="s">
        <v>5855</v>
      </c>
      <c r="D1522" s="68" t="s">
        <v>43</v>
      </c>
      <c r="E1522" s="70" t="s">
        <v>5856</v>
      </c>
      <c r="F1522" s="71">
        <f t="shared" si="66"/>
        <v>2</v>
      </c>
      <c r="G1522" s="68" t="s">
        <v>5857</v>
      </c>
      <c r="H1522" s="70"/>
      <c r="I1522" s="7" t="str">
        <f>IFERROR(__xludf.DUMMYFUNCTION("regexreplace(lower(C1522), ""_"", """")"),"intervieweyeexam")</f>
        <v>intervieweyeexam</v>
      </c>
      <c r="J1522" s="9" t="b">
        <f t="shared" si="2"/>
        <v>1</v>
      </c>
      <c r="K1522" s="7" t="str">
        <f>IFERROR(__xludf.DUMMYFUNCTION("regexreplace(G1522, ""_"", """")"),"intervieweyeexam")</f>
        <v>intervieweyeexam</v>
      </c>
      <c r="L1522" s="70" t="s">
        <v>5858</v>
      </c>
      <c r="M1522" s="70" t="s">
        <v>5858</v>
      </c>
    </row>
    <row r="1523">
      <c r="A1523" s="70"/>
      <c r="B1523" s="68" t="s">
        <v>5781</v>
      </c>
      <c r="C1523" s="68" t="s">
        <v>5859</v>
      </c>
      <c r="D1523" s="68" t="s">
        <v>43</v>
      </c>
      <c r="E1523" s="70" t="s">
        <v>5860</v>
      </c>
      <c r="F1523" s="71">
        <f t="shared" si="66"/>
        <v>2</v>
      </c>
      <c r="G1523" s="68" t="s">
        <v>5861</v>
      </c>
      <c r="H1523" s="70"/>
      <c r="I1523" s="7" t="str">
        <f>IFERROR(__xludf.DUMMYFUNCTION("regexreplace(lower(C1523), ""_"", """")"),"interviewneedwearglasses")</f>
        <v>interviewneedwearglasses</v>
      </c>
      <c r="J1523" s="9" t="b">
        <f t="shared" si="2"/>
        <v>1</v>
      </c>
      <c r="K1523" s="7" t="str">
        <f>IFERROR(__xludf.DUMMYFUNCTION("regexreplace(G1523, ""_"", """")"),"interviewneedwearglasses")</f>
        <v>interviewneedwearglasses</v>
      </c>
      <c r="L1523" s="70" t="s">
        <v>5862</v>
      </c>
      <c r="M1523" s="70" t="s">
        <v>5862</v>
      </c>
    </row>
    <row r="1524">
      <c r="A1524" s="70"/>
      <c r="B1524" s="68" t="s">
        <v>5781</v>
      </c>
      <c r="C1524" s="68" t="s">
        <v>5863</v>
      </c>
      <c r="D1524" s="68" t="s">
        <v>43</v>
      </c>
      <c r="E1524" s="70" t="s">
        <v>5864</v>
      </c>
      <c r="F1524" s="71">
        <f t="shared" si="66"/>
        <v>2</v>
      </c>
      <c r="G1524" s="68" t="s">
        <v>5865</v>
      </c>
      <c r="H1524" s="70"/>
      <c r="I1524" s="7" t="str">
        <f>IFERROR(__xludf.DUMMYFUNCTION("regexreplace(lower(C1524), ""_"", """")"),"interviewhear")</f>
        <v>interviewhear</v>
      </c>
      <c r="J1524" s="9" t="b">
        <f t="shared" si="2"/>
        <v>1</v>
      </c>
      <c r="K1524" s="7" t="str">
        <f>IFERROR(__xludf.DUMMYFUNCTION("regexreplace(G1524, ""_"", """")"),"interviewhear")</f>
        <v>interviewhear</v>
      </c>
      <c r="L1524" s="70" t="s">
        <v>5866</v>
      </c>
      <c r="M1524" s="70" t="s">
        <v>5866</v>
      </c>
    </row>
    <row r="1525">
      <c r="A1525" s="70"/>
      <c r="B1525" s="68" t="s">
        <v>5781</v>
      </c>
      <c r="C1525" s="68" t="s">
        <v>5867</v>
      </c>
      <c r="D1525" s="68" t="s">
        <v>43</v>
      </c>
      <c r="E1525" s="70" t="s">
        <v>5868</v>
      </c>
      <c r="F1525" s="71">
        <f t="shared" si="66"/>
        <v>2</v>
      </c>
      <c r="G1525" s="68" t="s">
        <v>5869</v>
      </c>
      <c r="H1525" s="70"/>
      <c r="I1525" s="7" t="str">
        <f>IFERROR(__xludf.DUMMYFUNCTION("regexreplace(lower(C1525), ""_"", """")"),"interviewhearexam")</f>
        <v>interviewhearexam</v>
      </c>
      <c r="J1525" s="9" t="b">
        <f t="shared" si="2"/>
        <v>1</v>
      </c>
      <c r="K1525" s="7" t="str">
        <f>IFERROR(__xludf.DUMMYFUNCTION("regexreplace(G1525, ""_"", """")"),"interviewhearexam")</f>
        <v>interviewhearexam</v>
      </c>
      <c r="L1525" s="70" t="s">
        <v>5870</v>
      </c>
      <c r="M1525" s="70" t="s">
        <v>5870</v>
      </c>
    </row>
    <row r="1526">
      <c r="A1526" s="70"/>
      <c r="B1526" s="68" t="s">
        <v>5781</v>
      </c>
      <c r="C1526" s="68" t="s">
        <v>5871</v>
      </c>
      <c r="D1526" s="68" t="s">
        <v>43</v>
      </c>
      <c r="E1526" s="70" t="s">
        <v>5872</v>
      </c>
      <c r="F1526" s="71">
        <f t="shared" si="66"/>
        <v>2</v>
      </c>
      <c r="G1526" s="68" t="s">
        <v>5873</v>
      </c>
      <c r="H1526" s="70"/>
      <c r="I1526" s="7" t="str">
        <f>IFERROR(__xludf.DUMMYFUNCTION("regexreplace(lower(C1526), ""_"", """")"),"interviewneedwearhearingaid")</f>
        <v>interviewneedwearhearingaid</v>
      </c>
      <c r="J1526" s="9" t="b">
        <f t="shared" si="2"/>
        <v>1</v>
      </c>
      <c r="K1526" s="7" t="str">
        <f>IFERROR(__xludf.DUMMYFUNCTION("regexreplace(G1526, ""_"", """")"),"interviewneedwearhearingaid")</f>
        <v>interviewneedwearhearingaid</v>
      </c>
      <c r="L1526" s="70" t="s">
        <v>5874</v>
      </c>
      <c r="M1526" s="70" t="s">
        <v>5874</v>
      </c>
    </row>
    <row r="1527">
      <c r="A1527" s="70"/>
      <c r="B1527" s="68" t="s">
        <v>5781</v>
      </c>
      <c r="C1527" s="68" t="s">
        <v>5875</v>
      </c>
      <c r="D1527" s="68" t="s">
        <v>34</v>
      </c>
      <c r="E1527" s="70" t="s">
        <v>5876</v>
      </c>
      <c r="F1527" s="71">
        <f t="shared" si="66"/>
        <v>2</v>
      </c>
      <c r="G1527" s="68" t="s">
        <v>5877</v>
      </c>
      <c r="H1527" s="70"/>
      <c r="I1527" s="7" t="str">
        <f>IFERROR(__xludf.DUMMYFUNCTION("regexreplace(lower(C1527), ""_"", """")"),"interviewnumberwordvocabulary")</f>
        <v>interviewnumberwordvocabulary</v>
      </c>
      <c r="J1527" s="9" t="b">
        <f t="shared" si="2"/>
        <v>1</v>
      </c>
      <c r="K1527" s="7" t="str">
        <f>IFERROR(__xludf.DUMMYFUNCTION("regexreplace(G1527, ""_"", """")"),"interviewnumberwordvocabulary")</f>
        <v>interviewnumberwordvocabulary</v>
      </c>
      <c r="L1527" s="70" t="s">
        <v>5878</v>
      </c>
      <c r="M1527" s="70" t="s">
        <v>5878</v>
      </c>
    </row>
    <row r="1528">
      <c r="A1528" s="70"/>
      <c r="B1528" s="68" t="s">
        <v>5781</v>
      </c>
      <c r="C1528" s="68" t="s">
        <v>5879</v>
      </c>
      <c r="D1528" s="68" t="s">
        <v>43</v>
      </c>
      <c r="E1528" s="70" t="s">
        <v>5880</v>
      </c>
      <c r="F1528" s="71">
        <f t="shared" si="66"/>
        <v>2</v>
      </c>
      <c r="G1528" s="68" t="s">
        <v>5881</v>
      </c>
      <c r="H1528" s="70"/>
      <c r="I1528" s="7" t="str">
        <f>IFERROR(__xludf.DUMMYFUNCTION("regexreplace(lower(C1528), ""_"", """")"),"interviewcombine2words")</f>
        <v>interviewcombine2words</v>
      </c>
      <c r="J1528" s="9" t="b">
        <f t="shared" si="2"/>
        <v>1</v>
      </c>
      <c r="K1528" s="7" t="str">
        <f>IFERROR(__xludf.DUMMYFUNCTION("regexreplace(G1528, ""_"", """")"),"interviewcombine2words")</f>
        <v>interviewcombine2words</v>
      </c>
      <c r="L1528" s="70" t="s">
        <v>5882</v>
      </c>
      <c r="M1528" s="70" t="s">
        <v>5882</v>
      </c>
    </row>
    <row r="1529">
      <c r="A1529" s="70"/>
      <c r="B1529" s="68" t="s">
        <v>5781</v>
      </c>
      <c r="C1529" s="68" t="s">
        <v>5883</v>
      </c>
      <c r="D1529" s="68" t="s">
        <v>43</v>
      </c>
      <c r="E1529" s="70" t="s">
        <v>5884</v>
      </c>
      <c r="F1529" s="71">
        <f t="shared" si="66"/>
        <v>2</v>
      </c>
      <c r="G1529" s="68" t="s">
        <v>5885</v>
      </c>
      <c r="H1529" s="70"/>
      <c r="I1529" s="7" t="str">
        <f>IFERROR(__xludf.DUMMYFUNCTION("regexreplace(lower(C1529), ""_"", """")"),"interviewcombine3words")</f>
        <v>interviewcombine3words</v>
      </c>
      <c r="J1529" s="9" t="b">
        <f t="shared" si="2"/>
        <v>1</v>
      </c>
      <c r="K1529" s="7" t="str">
        <f>IFERROR(__xludf.DUMMYFUNCTION("regexreplace(G1529, ""_"", """")"),"interviewcombine3words")</f>
        <v>interviewcombine3words</v>
      </c>
      <c r="L1529" s="70" t="s">
        <v>5886</v>
      </c>
      <c r="M1529" s="70" t="s">
        <v>5886</v>
      </c>
    </row>
    <row r="1530">
      <c r="A1530" s="70"/>
      <c r="B1530" s="68" t="s">
        <v>5781</v>
      </c>
      <c r="C1530" s="68" t="s">
        <v>5887</v>
      </c>
      <c r="D1530" s="68" t="s">
        <v>43</v>
      </c>
      <c r="E1530" s="70" t="s">
        <v>5888</v>
      </c>
      <c r="F1530" s="71">
        <f t="shared" si="66"/>
        <v>2</v>
      </c>
      <c r="G1530" s="68" t="s">
        <v>5889</v>
      </c>
      <c r="H1530" s="70"/>
      <c r="I1530" s="7" t="str">
        <f>IFERROR(__xludf.DUMMYFUNCTION("regexreplace(lower(C1530), ""_"", """")"),"interviewhydrocephalusshunt")</f>
        <v>interviewhydrocephalusshunt</v>
      </c>
      <c r="J1530" s="9" t="b">
        <f t="shared" si="2"/>
        <v>1</v>
      </c>
      <c r="K1530" s="7" t="str">
        <f>IFERROR(__xludf.DUMMYFUNCTION("regexreplace(G1530, ""_"", """")"),"interviewhydrocephalusshunt")</f>
        <v>interviewhydrocephalusshunt</v>
      </c>
      <c r="L1530" s="70" t="s">
        <v>5890</v>
      </c>
      <c r="M1530" s="70" t="s">
        <v>5890</v>
      </c>
    </row>
    <row r="1531">
      <c r="A1531" s="70"/>
      <c r="B1531" s="68" t="s">
        <v>5781</v>
      </c>
      <c r="C1531" s="68" t="s">
        <v>5891</v>
      </c>
      <c r="D1531" s="68" t="s">
        <v>43</v>
      </c>
      <c r="E1531" s="70" t="s">
        <v>5892</v>
      </c>
      <c r="F1531" s="71">
        <f t="shared" si="66"/>
        <v>2</v>
      </c>
      <c r="G1531" s="68" t="s">
        <v>5893</v>
      </c>
      <c r="H1531" s="70"/>
      <c r="I1531" s="7" t="str">
        <f>IFERROR(__xludf.DUMMYFUNCTION("regexreplace(lower(C1531), ""_"", """")"),"interviewcerebralpalsy")</f>
        <v>interviewcerebralpalsy</v>
      </c>
      <c r="J1531" s="9" t="b">
        <f t="shared" si="2"/>
        <v>1</v>
      </c>
      <c r="K1531" s="7" t="str">
        <f>IFERROR(__xludf.DUMMYFUNCTION("regexreplace(G1531, ""_"", """")"),"interviewcerebralpalsy")</f>
        <v>interviewcerebralpalsy</v>
      </c>
      <c r="L1531" s="70" t="s">
        <v>5894</v>
      </c>
      <c r="M1531" s="70" t="s">
        <v>5894</v>
      </c>
    </row>
    <row r="1532">
      <c r="A1532" s="70"/>
      <c r="B1532" s="68" t="s">
        <v>5781</v>
      </c>
      <c r="C1532" s="68" t="s">
        <v>5895</v>
      </c>
      <c r="D1532" s="68" t="s">
        <v>43</v>
      </c>
      <c r="E1532" s="70" t="s">
        <v>5896</v>
      </c>
      <c r="F1532" s="71">
        <f t="shared" si="66"/>
        <v>2</v>
      </c>
      <c r="G1532" s="68" t="s">
        <v>5897</v>
      </c>
      <c r="H1532" s="70"/>
      <c r="I1532" s="7" t="str">
        <f>IFERROR(__xludf.DUMMYFUNCTION("regexreplace(lower(C1532), ""_"", """")"),"interviewdevelopmentaldelay")</f>
        <v>interviewdevelopmentaldelay</v>
      </c>
      <c r="J1532" s="9" t="b">
        <f t="shared" si="2"/>
        <v>1</v>
      </c>
      <c r="K1532" s="7" t="str">
        <f>IFERROR(__xludf.DUMMYFUNCTION("regexreplace(G1532, ""_"", """")"),"interviewdevelopmentaldelay")</f>
        <v>interviewdevelopmentaldelay</v>
      </c>
      <c r="L1532" s="70" t="s">
        <v>5898</v>
      </c>
      <c r="M1532" s="70" t="s">
        <v>5898</v>
      </c>
    </row>
    <row r="1533">
      <c r="A1533" s="70"/>
      <c r="B1533" s="68" t="s">
        <v>5781</v>
      </c>
      <c r="C1533" s="68" t="s">
        <v>5899</v>
      </c>
      <c r="D1533" s="68" t="s">
        <v>43</v>
      </c>
      <c r="E1533" s="70" t="s">
        <v>5900</v>
      </c>
      <c r="F1533" s="71">
        <f t="shared" si="66"/>
        <v>2</v>
      </c>
      <c r="G1533" s="68" t="s">
        <v>5901</v>
      </c>
      <c r="H1533" s="70"/>
      <c r="I1533" s="7" t="str">
        <f>IFERROR(__xludf.DUMMYFUNCTION("regexreplace(lower(C1533), ""_"", """")"),"interviewlanguagedelay")</f>
        <v>interviewlanguagedelay</v>
      </c>
      <c r="J1533" s="9" t="b">
        <f t="shared" si="2"/>
        <v>1</v>
      </c>
      <c r="K1533" s="7" t="str">
        <f>IFERROR(__xludf.DUMMYFUNCTION("regexreplace(G1533, ""_"", """")"),"interviewlanguagedelay")</f>
        <v>interviewlanguagedelay</v>
      </c>
      <c r="L1533" s="70" t="s">
        <v>5902</v>
      </c>
      <c r="M1533" s="70" t="s">
        <v>5902</v>
      </c>
    </row>
    <row r="1534">
      <c r="A1534" s="70"/>
      <c r="B1534" s="68" t="s">
        <v>5781</v>
      </c>
      <c r="C1534" s="68" t="s">
        <v>5903</v>
      </c>
      <c r="D1534" s="68" t="s">
        <v>43</v>
      </c>
      <c r="E1534" s="70" t="s">
        <v>5904</v>
      </c>
      <c r="F1534" s="71">
        <f t="shared" si="66"/>
        <v>2</v>
      </c>
      <c r="G1534" s="68" t="s">
        <v>5905</v>
      </c>
      <c r="H1534" s="70"/>
      <c r="I1534" s="7" t="str">
        <f>IFERROR(__xludf.DUMMYFUNCTION("regexreplace(lower(C1534), ""_"", """")"),"interviewpoorweightgain")</f>
        <v>interviewpoorweightgain</v>
      </c>
      <c r="J1534" s="9" t="b">
        <f t="shared" si="2"/>
        <v>1</v>
      </c>
      <c r="K1534" s="7" t="str">
        <f>IFERROR(__xludf.DUMMYFUNCTION("regexreplace(G1534, ""_"", """")"),"interviewpoorweightgain")</f>
        <v>interviewpoorweightgain</v>
      </c>
      <c r="L1534" s="70" t="s">
        <v>5906</v>
      </c>
      <c r="M1534" s="70" t="s">
        <v>5906</v>
      </c>
    </row>
    <row r="1535">
      <c r="A1535" s="70"/>
      <c r="B1535" s="68" t="s">
        <v>5781</v>
      </c>
      <c r="C1535" s="68" t="s">
        <v>5907</v>
      </c>
      <c r="D1535" s="68" t="s">
        <v>43</v>
      </c>
      <c r="E1535" s="70" t="s">
        <v>5908</v>
      </c>
      <c r="F1535" s="71">
        <f t="shared" si="66"/>
        <v>2</v>
      </c>
      <c r="G1535" s="68" t="s">
        <v>5909</v>
      </c>
      <c r="H1535" s="70"/>
      <c r="I1535" s="7" t="str">
        <f>IFERROR(__xludf.DUMMYFUNCTION("regexreplace(lower(C1535), ""_"", """")"),"interviewseizure")</f>
        <v>interviewseizure</v>
      </c>
      <c r="J1535" s="9" t="b">
        <f t="shared" si="2"/>
        <v>1</v>
      </c>
      <c r="K1535" s="7" t="str">
        <f>IFERROR(__xludf.DUMMYFUNCTION("regexreplace(G1535, ""_"", """")"),"interviewseizure")</f>
        <v>interviewseizure</v>
      </c>
      <c r="L1535" s="70" t="s">
        <v>5910</v>
      </c>
      <c r="M1535" s="70" t="s">
        <v>5910</v>
      </c>
    </row>
    <row r="1536">
      <c r="A1536" s="70"/>
      <c r="B1536" s="68" t="s">
        <v>5781</v>
      </c>
      <c r="C1536" s="68" t="s">
        <v>5911</v>
      </c>
      <c r="D1536" s="68" t="s">
        <v>43</v>
      </c>
      <c r="E1536" s="70" t="s">
        <v>5912</v>
      </c>
      <c r="F1536" s="71">
        <f t="shared" si="66"/>
        <v>2</v>
      </c>
      <c r="G1536" s="68" t="s">
        <v>5913</v>
      </c>
      <c r="H1536" s="70"/>
      <c r="I1536" s="7" t="str">
        <f>IFERROR(__xludf.DUMMYFUNCTION("regexreplace(lower(C1536), ""_"", """")"),"interviewblindness")</f>
        <v>interviewblindness</v>
      </c>
      <c r="J1536" s="9" t="b">
        <f t="shared" si="2"/>
        <v>1</v>
      </c>
      <c r="K1536" s="7" t="str">
        <f>IFERROR(__xludf.DUMMYFUNCTION("regexreplace(G1536, ""_"", """")"),"interviewblindness")</f>
        <v>interviewblindness</v>
      </c>
      <c r="L1536" s="70" t="s">
        <v>5914</v>
      </c>
      <c r="M1536" s="70" t="s">
        <v>5914</v>
      </c>
    </row>
    <row r="1537">
      <c r="A1537" s="70"/>
      <c r="B1537" s="68" t="s">
        <v>5781</v>
      </c>
      <c r="C1537" s="68" t="s">
        <v>5915</v>
      </c>
      <c r="D1537" s="68" t="s">
        <v>43</v>
      </c>
      <c r="E1537" s="70" t="s">
        <v>5916</v>
      </c>
      <c r="F1537" s="71">
        <f t="shared" si="66"/>
        <v>2</v>
      </c>
      <c r="G1537" s="68" t="s">
        <v>5917</v>
      </c>
      <c r="H1537" s="70"/>
      <c r="I1537" s="7" t="str">
        <f>IFERROR(__xludf.DUMMYFUNCTION("regexreplace(lower(C1537), ""_"", """")"),"interviewotherbehaviorproblem")</f>
        <v>interviewotherbehaviorproblem</v>
      </c>
      <c r="J1537" s="9" t="b">
        <f t="shared" si="2"/>
        <v>1</v>
      </c>
      <c r="K1537" s="7" t="str">
        <f>IFERROR(__xludf.DUMMYFUNCTION("regexreplace(G1537, ""_"", """")"),"interviewotherbehaviorproblem")</f>
        <v>interviewotherbehaviorproblem</v>
      </c>
      <c r="L1537" s="70" t="s">
        <v>5918</v>
      </c>
      <c r="M1537" s="70" t="s">
        <v>5918</v>
      </c>
    </row>
    <row r="1538">
      <c r="A1538" s="70"/>
      <c r="B1538" s="68" t="s">
        <v>5781</v>
      </c>
      <c r="C1538" s="68" t="s">
        <v>5919</v>
      </c>
      <c r="D1538" s="68" t="s">
        <v>19</v>
      </c>
      <c r="E1538" s="70" t="s">
        <v>5920</v>
      </c>
      <c r="F1538" s="71">
        <f t="shared" si="66"/>
        <v>2</v>
      </c>
      <c r="G1538" s="68" t="s">
        <v>5921</v>
      </c>
      <c r="H1538" s="70"/>
      <c r="I1538" s="7" t="str">
        <f>IFERROR(__xludf.DUMMYFUNCTION("regexreplace(lower(C1538), ""_"", """")"),"interviewotherbehaviorproblemtext")</f>
        <v>interviewotherbehaviorproblemtext</v>
      </c>
      <c r="J1538" s="9" t="b">
        <f t="shared" si="2"/>
        <v>1</v>
      </c>
      <c r="K1538" s="7" t="str">
        <f>IFERROR(__xludf.DUMMYFUNCTION("regexreplace(G1538, ""_"", """")"),"interviewotherbehaviorproblemtext")</f>
        <v>interviewotherbehaviorproblemtext</v>
      </c>
      <c r="L1538" s="70" t="s">
        <v>5922</v>
      </c>
      <c r="M1538" s="70" t="s">
        <v>5922</v>
      </c>
    </row>
    <row r="1539">
      <c r="A1539" s="70"/>
      <c r="B1539" s="68" t="s">
        <v>5781</v>
      </c>
      <c r="C1539" s="68" t="s">
        <v>5923</v>
      </c>
      <c r="D1539" s="68" t="s">
        <v>43</v>
      </c>
      <c r="E1539" s="70" t="s">
        <v>5924</v>
      </c>
      <c r="F1539" s="71">
        <f t="shared" si="66"/>
        <v>2</v>
      </c>
      <c r="G1539" s="68" t="s">
        <v>5925</v>
      </c>
      <c r="H1539" s="70"/>
      <c r="I1539" s="7" t="str">
        <f>IFERROR(__xludf.DUMMYFUNCTION("regexreplace(lower(C1539), ""_"", """")"),"interviewothermajormedicalproblem")</f>
        <v>interviewothermajormedicalproblem</v>
      </c>
      <c r="J1539" s="9" t="b">
        <f t="shared" si="2"/>
        <v>1</v>
      </c>
      <c r="K1539" s="7" t="str">
        <f>IFERROR(__xludf.DUMMYFUNCTION("regexreplace(G1539, ""_"", """")"),"interviewothermajormedicalproblem")</f>
        <v>interviewothermajormedicalproblem</v>
      </c>
      <c r="L1539" s="70" t="s">
        <v>5926</v>
      </c>
      <c r="M1539" s="70" t="s">
        <v>5926</v>
      </c>
    </row>
    <row r="1540">
      <c r="A1540" s="70"/>
      <c r="B1540" s="68" t="s">
        <v>5781</v>
      </c>
      <c r="C1540" s="68" t="s">
        <v>5927</v>
      </c>
      <c r="D1540" s="68" t="s">
        <v>19</v>
      </c>
      <c r="E1540" s="70" t="s">
        <v>5928</v>
      </c>
      <c r="F1540" s="71">
        <f t="shared" si="66"/>
        <v>2</v>
      </c>
      <c r="G1540" s="68" t="s">
        <v>5929</v>
      </c>
      <c r="H1540" s="70"/>
      <c r="I1540" s="7" t="str">
        <f>IFERROR(__xludf.DUMMYFUNCTION("regexreplace(lower(C1540), ""_"", """")"),"interviewothermajormedicalproblemtext")</f>
        <v>interviewothermajormedicalproblemtext</v>
      </c>
      <c r="J1540" s="9" t="b">
        <f t="shared" si="2"/>
        <v>1</v>
      </c>
      <c r="K1540" s="7" t="str">
        <f>IFERROR(__xludf.DUMMYFUNCTION("regexreplace(G1540, ""_"", """")"),"interviewothermajormedicalproblemtext")</f>
        <v>interviewothermajormedicalproblemtext</v>
      </c>
      <c r="L1540" s="70" t="s">
        <v>5930</v>
      </c>
      <c r="M1540" s="70" t="s">
        <v>5930</v>
      </c>
    </row>
    <row r="1541">
      <c r="A1541" s="70"/>
      <c r="B1541" s="68" t="s">
        <v>5781</v>
      </c>
      <c r="C1541" s="68" t="s">
        <v>5931</v>
      </c>
      <c r="D1541" s="68" t="s">
        <v>43</v>
      </c>
      <c r="E1541" s="70" t="s">
        <v>5932</v>
      </c>
      <c r="F1541" s="71">
        <f t="shared" si="66"/>
        <v>2</v>
      </c>
      <c r="G1541" s="68" t="s">
        <v>5933</v>
      </c>
      <c r="H1541" s="70"/>
      <c r="I1541" s="7" t="str">
        <f>IFERROR(__xludf.DUMMYFUNCTION("regexreplace(lower(C1541), ""_"", """")"),"interviewotherneuraldevelopmentalproblem")</f>
        <v>interviewotherneuraldevelopmentalproblem</v>
      </c>
      <c r="J1541" s="9" t="b">
        <f t="shared" si="2"/>
        <v>1</v>
      </c>
      <c r="K1541" s="7" t="str">
        <f>IFERROR(__xludf.DUMMYFUNCTION("regexreplace(G1541, ""_"", """")"),"interviewotherneuraldevelopmentalproblem")</f>
        <v>interviewotherneuraldevelopmentalproblem</v>
      </c>
      <c r="L1541" s="70" t="s">
        <v>5934</v>
      </c>
      <c r="M1541" s="70" t="s">
        <v>5934</v>
      </c>
    </row>
    <row r="1542">
      <c r="A1542" s="70"/>
      <c r="B1542" s="68" t="s">
        <v>5781</v>
      </c>
      <c r="C1542" s="68" t="s">
        <v>5935</v>
      </c>
      <c r="D1542" s="68" t="s">
        <v>19</v>
      </c>
      <c r="E1542" s="70" t="s">
        <v>5936</v>
      </c>
      <c r="F1542" s="71">
        <f t="shared" si="66"/>
        <v>2</v>
      </c>
      <c r="G1542" s="68" t="s">
        <v>5937</v>
      </c>
      <c r="H1542" s="70"/>
      <c r="I1542" s="7" t="str">
        <f>IFERROR(__xludf.DUMMYFUNCTION("regexreplace(lower(C1542), ""_"", """")"),"interviewotherneuraldevelopmentalproblemtext")</f>
        <v>interviewotherneuraldevelopmentalproblemtext</v>
      </c>
      <c r="J1542" s="9" t="b">
        <f t="shared" si="2"/>
        <v>1</v>
      </c>
      <c r="K1542" s="7" t="str">
        <f>IFERROR(__xludf.DUMMYFUNCTION("regexreplace(G1542, ""_"", """")"),"interviewotherneuraldevelopmentalproblemtext")</f>
        <v>interviewotherneuraldevelopmentalproblemtext</v>
      </c>
      <c r="L1542" s="70" t="s">
        <v>5938</v>
      </c>
      <c r="M1542" s="70" t="s">
        <v>5938</v>
      </c>
    </row>
    <row r="1543">
      <c r="A1543" s="70"/>
      <c r="B1543" s="68" t="s">
        <v>5781</v>
      </c>
      <c r="C1543" s="68" t="s">
        <v>5939</v>
      </c>
      <c r="D1543" s="68" t="s">
        <v>5534</v>
      </c>
      <c r="E1543" s="70" t="s">
        <v>5940</v>
      </c>
      <c r="F1543" s="71">
        <f t="shared" si="66"/>
        <v>1</v>
      </c>
      <c r="G1543" s="68" t="s">
        <v>5941</v>
      </c>
      <c r="H1543" s="70"/>
      <c r="I1543" s="7" t="str">
        <f>IFERROR(__xludf.DUMMYFUNCTION("regexreplace(lower(C1543), ""_"", """")"),"interviewmotorgrossfunctionlevel")</f>
        <v>interviewmotorgrossfunctionlevel</v>
      </c>
      <c r="J1543" s="9" t="b">
        <f t="shared" si="2"/>
        <v>1</v>
      </c>
      <c r="K1543" s="7" t="str">
        <f>IFERROR(__xludf.DUMMYFUNCTION("regexreplace(G1543, ""_"", """")"),"interviewmotorgrossfunctionlevel")</f>
        <v>interviewmotorgrossfunctionlevel</v>
      </c>
      <c r="L1543" s="70"/>
      <c r="M1543" s="70" t="s">
        <v>5942</v>
      </c>
    </row>
    <row r="1544">
      <c r="A1544" s="12"/>
      <c r="B1544" s="12"/>
      <c r="C1544" s="13"/>
      <c r="D1544" s="12"/>
      <c r="E1544" s="12"/>
      <c r="F1544" s="12"/>
      <c r="G1544" s="12" t="s">
        <v>913</v>
      </c>
      <c r="H1544" s="12"/>
      <c r="I1544" s="7" t="str">
        <f>IFERROR(__xludf.DUMMYFUNCTION("regexreplace(lower(C1544), ""_"", """")"),"")</f>
        <v/>
      </c>
      <c r="J1544" s="9" t="str">
        <f t="shared" si="2"/>
        <v/>
      </c>
      <c r="K1544" s="7" t="str">
        <f>IFERROR(__xludf.DUMMYFUNCTION("regexreplace(G1544, ""_"", """")"),"")</f>
        <v/>
      </c>
      <c r="L1544" s="12"/>
      <c r="M1544" s="12"/>
    </row>
    <row r="1545">
      <c r="A1545" s="68" t="s">
        <v>4607</v>
      </c>
      <c r="B1545" s="68" t="s">
        <v>5781</v>
      </c>
      <c r="C1545" s="68" t="s">
        <v>5943</v>
      </c>
      <c r="D1545" s="68" t="s">
        <v>5944</v>
      </c>
      <c r="E1545" s="70" t="s">
        <v>5945</v>
      </c>
      <c r="F1545" s="71">
        <f t="shared" ref="F1545:F1561" si="67">counta(L1545:M1545)</f>
        <v>2</v>
      </c>
      <c r="G1545" s="68" t="s">
        <v>5946</v>
      </c>
      <c r="H1545" s="70"/>
      <c r="I1545" s="7" t="str">
        <f>IFERROR(__xludf.DUMMYFUNCTION("regexreplace(lower(C1545), ""_"", """")"),"chartrevieweyeexam")</f>
        <v>chartrevieweyeexam</v>
      </c>
      <c r="J1545" s="9" t="b">
        <f t="shared" si="2"/>
        <v>1</v>
      </c>
      <c r="K1545" s="7" t="str">
        <f>IFERROR(__xludf.DUMMYFUNCTION("regexreplace(G1545, ""_"", """")"),"chartrevieweyeexam")</f>
        <v>chartrevieweyeexam</v>
      </c>
      <c r="L1545" s="70" t="s">
        <v>5947</v>
      </c>
      <c r="M1545" s="70" t="s">
        <v>5947</v>
      </c>
    </row>
    <row r="1546">
      <c r="A1546" s="70"/>
      <c r="B1546" s="68" t="s">
        <v>5781</v>
      </c>
      <c r="C1546" s="68" t="s">
        <v>5948</v>
      </c>
      <c r="D1546" s="68" t="s">
        <v>5944</v>
      </c>
      <c r="E1546" s="70" t="s">
        <v>5949</v>
      </c>
      <c r="F1546" s="71">
        <f t="shared" si="67"/>
        <v>2</v>
      </c>
      <c r="G1546" s="68" t="s">
        <v>5950</v>
      </c>
      <c r="H1546" s="70"/>
      <c r="I1546" s="7" t="str">
        <f>IFERROR(__xludf.DUMMYFUNCTION("regexreplace(lower(C1546), ""_"", """")"),"chartreviewhearingexam")</f>
        <v>chartreviewhearingexam</v>
      </c>
      <c r="J1546" s="9" t="b">
        <f t="shared" si="2"/>
        <v>1</v>
      </c>
      <c r="K1546" s="7" t="str">
        <f>IFERROR(__xludf.DUMMYFUNCTION("regexreplace(G1546, ""_"", """")"),"chartreviewhearingexam")</f>
        <v>chartreviewhearingexam</v>
      </c>
      <c r="L1546" s="70" t="s">
        <v>5951</v>
      </c>
      <c r="M1546" s="70" t="s">
        <v>5951</v>
      </c>
    </row>
    <row r="1547">
      <c r="A1547" s="70"/>
      <c r="B1547" s="68" t="s">
        <v>5781</v>
      </c>
      <c r="C1547" s="68" t="s">
        <v>5952</v>
      </c>
      <c r="D1547" s="68" t="s">
        <v>5944</v>
      </c>
      <c r="E1547" s="70" t="s">
        <v>5872</v>
      </c>
      <c r="F1547" s="71">
        <f t="shared" si="67"/>
        <v>2</v>
      </c>
      <c r="G1547" s="68" t="s">
        <v>5953</v>
      </c>
      <c r="H1547" s="70"/>
      <c r="I1547" s="7" t="str">
        <f>IFERROR(__xludf.DUMMYFUNCTION("regexreplace(lower(C1547), ""_"", """")"),"chartreviewneedwearhearingaid")</f>
        <v>chartreviewneedwearhearingaid</v>
      </c>
      <c r="J1547" s="9" t="b">
        <f t="shared" si="2"/>
        <v>1</v>
      </c>
      <c r="K1547" s="7" t="str">
        <f>IFERROR(__xludf.DUMMYFUNCTION("regexreplace(G1547, ""_"", """")"),"chartreviewneedwearhearingaid")</f>
        <v>chartreviewneedwearhearingaid</v>
      </c>
      <c r="L1547" s="70" t="s">
        <v>5954</v>
      </c>
      <c r="M1547" s="70" t="s">
        <v>5954</v>
      </c>
    </row>
    <row r="1548">
      <c r="A1548" s="70"/>
      <c r="B1548" s="68" t="s">
        <v>5781</v>
      </c>
      <c r="C1548" s="68" t="s">
        <v>5955</v>
      </c>
      <c r="D1548" s="68" t="s">
        <v>5944</v>
      </c>
      <c r="E1548" s="70" t="s">
        <v>5888</v>
      </c>
      <c r="F1548" s="71">
        <f t="shared" si="67"/>
        <v>2</v>
      </c>
      <c r="G1548" s="68" t="s">
        <v>5956</v>
      </c>
      <c r="H1548" s="70"/>
      <c r="I1548" s="7" t="str">
        <f>IFERROR(__xludf.DUMMYFUNCTION("regexreplace(lower(C1548), ""_"", """")"),"chartreviewhydrocephalusshunt")</f>
        <v>chartreviewhydrocephalusshunt</v>
      </c>
      <c r="J1548" s="9" t="b">
        <f t="shared" si="2"/>
        <v>1</v>
      </c>
      <c r="K1548" s="7" t="str">
        <f>IFERROR(__xludf.DUMMYFUNCTION("regexreplace(G1548, ""_"", """")"),"chartreviewhydrocephalusshunt")</f>
        <v>chartreviewhydrocephalusshunt</v>
      </c>
      <c r="L1548" s="70" t="s">
        <v>5957</v>
      </c>
      <c r="M1548" s="70" t="s">
        <v>5957</v>
      </c>
    </row>
    <row r="1549">
      <c r="A1549" s="70"/>
      <c r="B1549" s="68" t="s">
        <v>5781</v>
      </c>
      <c r="C1549" s="68" t="s">
        <v>5958</v>
      </c>
      <c r="D1549" s="68" t="s">
        <v>5944</v>
      </c>
      <c r="E1549" s="70" t="s">
        <v>5892</v>
      </c>
      <c r="F1549" s="71">
        <f t="shared" si="67"/>
        <v>2</v>
      </c>
      <c r="G1549" s="68" t="s">
        <v>5959</v>
      </c>
      <c r="H1549" s="70"/>
      <c r="I1549" s="7" t="str">
        <f>IFERROR(__xludf.DUMMYFUNCTION("regexreplace(lower(C1549), ""_"", """")"),"chartreviewcerebralpalsy")</f>
        <v>chartreviewcerebralpalsy</v>
      </c>
      <c r="J1549" s="9" t="b">
        <f t="shared" si="2"/>
        <v>1</v>
      </c>
      <c r="K1549" s="7" t="str">
        <f>IFERROR(__xludf.DUMMYFUNCTION("regexreplace(G1549, ""_"", """")"),"chartreviewcerebralpalsy")</f>
        <v>chartreviewcerebralpalsy</v>
      </c>
      <c r="L1549" s="70" t="s">
        <v>5960</v>
      </c>
      <c r="M1549" s="70" t="s">
        <v>5960</v>
      </c>
    </row>
    <row r="1550">
      <c r="A1550" s="70"/>
      <c r="B1550" s="68" t="s">
        <v>5781</v>
      </c>
      <c r="C1550" s="68" t="s">
        <v>5961</v>
      </c>
      <c r="D1550" s="68" t="s">
        <v>5944</v>
      </c>
      <c r="E1550" s="70" t="s">
        <v>5896</v>
      </c>
      <c r="F1550" s="71">
        <f t="shared" si="67"/>
        <v>2</v>
      </c>
      <c r="G1550" s="68" t="s">
        <v>5962</v>
      </c>
      <c r="H1550" s="70"/>
      <c r="I1550" s="7" t="str">
        <f>IFERROR(__xludf.DUMMYFUNCTION("regexreplace(lower(C1550), ""_"", """")"),"chartreviewdevelopmentaldelay")</f>
        <v>chartreviewdevelopmentaldelay</v>
      </c>
      <c r="J1550" s="9" t="b">
        <f t="shared" si="2"/>
        <v>1</v>
      </c>
      <c r="K1550" s="7" t="str">
        <f>IFERROR(__xludf.DUMMYFUNCTION("regexreplace(G1550, ""_"", """")"),"chartreviewdevelopmentaldelay")</f>
        <v>chartreviewdevelopmentaldelay</v>
      </c>
      <c r="L1550" s="70" t="s">
        <v>5963</v>
      </c>
      <c r="M1550" s="70" t="s">
        <v>5963</v>
      </c>
    </row>
    <row r="1551">
      <c r="A1551" s="70"/>
      <c r="B1551" s="68" t="s">
        <v>5781</v>
      </c>
      <c r="C1551" s="68" t="s">
        <v>5964</v>
      </c>
      <c r="D1551" s="68" t="s">
        <v>5944</v>
      </c>
      <c r="E1551" s="70" t="s">
        <v>5900</v>
      </c>
      <c r="F1551" s="71">
        <f t="shared" si="67"/>
        <v>2</v>
      </c>
      <c r="G1551" s="68" t="s">
        <v>5965</v>
      </c>
      <c r="H1551" s="70"/>
      <c r="I1551" s="7" t="str">
        <f>IFERROR(__xludf.DUMMYFUNCTION("regexreplace(lower(C1551), ""_"", """")"),"chartreviewlanguagedelay")</f>
        <v>chartreviewlanguagedelay</v>
      </c>
      <c r="J1551" s="9" t="b">
        <f t="shared" si="2"/>
        <v>1</v>
      </c>
      <c r="K1551" s="7" t="str">
        <f>IFERROR(__xludf.DUMMYFUNCTION("regexreplace(G1551, ""_"", """")"),"chartreviewlanguagedelay")</f>
        <v>chartreviewlanguagedelay</v>
      </c>
      <c r="L1551" s="70" t="s">
        <v>5966</v>
      </c>
      <c r="M1551" s="70" t="s">
        <v>5966</v>
      </c>
    </row>
    <row r="1552">
      <c r="A1552" s="70"/>
      <c r="B1552" s="68" t="s">
        <v>5781</v>
      </c>
      <c r="C1552" s="68" t="s">
        <v>5967</v>
      </c>
      <c r="D1552" s="68" t="s">
        <v>5944</v>
      </c>
      <c r="E1552" s="70" t="s">
        <v>5904</v>
      </c>
      <c r="F1552" s="71">
        <f t="shared" si="67"/>
        <v>2</v>
      </c>
      <c r="G1552" s="68" t="s">
        <v>5968</v>
      </c>
      <c r="H1552" s="70"/>
      <c r="I1552" s="7" t="str">
        <f>IFERROR(__xludf.DUMMYFUNCTION("regexreplace(lower(C1552), ""_"", """")"),"chartreviewpoorweightgain")</f>
        <v>chartreviewpoorweightgain</v>
      </c>
      <c r="J1552" s="9" t="b">
        <f t="shared" si="2"/>
        <v>1</v>
      </c>
      <c r="K1552" s="7" t="str">
        <f>IFERROR(__xludf.DUMMYFUNCTION("regexreplace(G1552, ""_"", """")"),"chartreviewpoorweightgain")</f>
        <v>chartreviewpoorweightgain</v>
      </c>
      <c r="L1552" s="70" t="s">
        <v>5969</v>
      </c>
      <c r="M1552" s="70" t="s">
        <v>5969</v>
      </c>
    </row>
    <row r="1553">
      <c r="A1553" s="70"/>
      <c r="B1553" s="68" t="s">
        <v>5781</v>
      </c>
      <c r="C1553" s="68" t="s">
        <v>5970</v>
      </c>
      <c r="D1553" s="68" t="s">
        <v>5944</v>
      </c>
      <c r="E1553" s="70" t="s">
        <v>5908</v>
      </c>
      <c r="F1553" s="71">
        <f t="shared" si="67"/>
        <v>2</v>
      </c>
      <c r="G1553" s="68" t="s">
        <v>5971</v>
      </c>
      <c r="H1553" s="70"/>
      <c r="I1553" s="7" t="str">
        <f>IFERROR(__xludf.DUMMYFUNCTION("regexreplace(lower(C1553), ""_"", """")"),"chartreviewseizure")</f>
        <v>chartreviewseizure</v>
      </c>
      <c r="J1553" s="9" t="b">
        <f t="shared" si="2"/>
        <v>1</v>
      </c>
      <c r="K1553" s="7" t="str">
        <f>IFERROR(__xludf.DUMMYFUNCTION("regexreplace(G1553, ""_"", """")"),"chartreviewseizure")</f>
        <v>chartreviewseizure</v>
      </c>
      <c r="L1553" s="70" t="s">
        <v>5972</v>
      </c>
      <c r="M1553" s="70" t="s">
        <v>5972</v>
      </c>
    </row>
    <row r="1554">
      <c r="A1554" s="70"/>
      <c r="B1554" s="68" t="s">
        <v>5781</v>
      </c>
      <c r="C1554" s="68" t="s">
        <v>5973</v>
      </c>
      <c r="D1554" s="68" t="s">
        <v>5944</v>
      </c>
      <c r="E1554" s="70" t="s">
        <v>5912</v>
      </c>
      <c r="F1554" s="71">
        <f t="shared" si="67"/>
        <v>2</v>
      </c>
      <c r="G1554" s="68" t="s">
        <v>5974</v>
      </c>
      <c r="H1554" s="70"/>
      <c r="I1554" s="7" t="str">
        <f>IFERROR(__xludf.DUMMYFUNCTION("regexreplace(lower(C1554), ""_"", """")"),"chartreviewblindness")</f>
        <v>chartreviewblindness</v>
      </c>
      <c r="J1554" s="9" t="b">
        <f t="shared" si="2"/>
        <v>1</v>
      </c>
      <c r="K1554" s="7" t="str">
        <f>IFERROR(__xludf.DUMMYFUNCTION("regexreplace(G1554, ""_"", """")"),"chartreviewblindness")</f>
        <v>chartreviewblindness</v>
      </c>
      <c r="L1554" s="70" t="s">
        <v>5975</v>
      </c>
      <c r="M1554" s="70" t="s">
        <v>5975</v>
      </c>
    </row>
    <row r="1555">
      <c r="A1555" s="70"/>
      <c r="B1555" s="68" t="s">
        <v>5781</v>
      </c>
      <c r="C1555" s="68" t="s">
        <v>5976</v>
      </c>
      <c r="D1555" s="68" t="s">
        <v>5944</v>
      </c>
      <c r="E1555" s="70" t="s">
        <v>5916</v>
      </c>
      <c r="F1555" s="71">
        <f t="shared" si="67"/>
        <v>2</v>
      </c>
      <c r="G1555" s="68" t="s">
        <v>5977</v>
      </c>
      <c r="H1555" s="70"/>
      <c r="I1555" s="7" t="str">
        <f>IFERROR(__xludf.DUMMYFUNCTION("regexreplace(lower(C1555), ""_"", """")"),"chartreviewotherbehaviorproblem")</f>
        <v>chartreviewotherbehaviorproblem</v>
      </c>
      <c r="J1555" s="9" t="b">
        <f t="shared" si="2"/>
        <v>1</v>
      </c>
      <c r="K1555" s="7" t="str">
        <f>IFERROR(__xludf.DUMMYFUNCTION("regexreplace(G1555, ""_"", """")"),"chartreviewotherbehaviorproblem")</f>
        <v>chartreviewotherbehaviorproblem</v>
      </c>
      <c r="L1555" s="70" t="s">
        <v>5978</v>
      </c>
      <c r="M1555" s="70" t="s">
        <v>5978</v>
      </c>
    </row>
    <row r="1556">
      <c r="A1556" s="70"/>
      <c r="B1556" s="68" t="s">
        <v>5781</v>
      </c>
      <c r="C1556" s="68" t="s">
        <v>5979</v>
      </c>
      <c r="D1556" s="68" t="s">
        <v>19</v>
      </c>
      <c r="E1556" s="70" t="s">
        <v>5920</v>
      </c>
      <c r="F1556" s="71">
        <f t="shared" si="67"/>
        <v>2</v>
      </c>
      <c r="G1556" s="68" t="s">
        <v>5980</v>
      </c>
      <c r="H1556" s="70"/>
      <c r="I1556" s="7" t="str">
        <f>IFERROR(__xludf.DUMMYFUNCTION("regexreplace(lower(C1556), ""_"", """")"),"chartreviewotherbehaviorproblemtext")</f>
        <v>chartreviewotherbehaviorproblemtext</v>
      </c>
      <c r="J1556" s="9" t="b">
        <f t="shared" si="2"/>
        <v>1</v>
      </c>
      <c r="K1556" s="7" t="str">
        <f>IFERROR(__xludf.DUMMYFUNCTION("regexreplace(G1556, ""_"", """")"),"chartreviewotherbehaviorproblemtext")</f>
        <v>chartreviewotherbehaviorproblemtext</v>
      </c>
      <c r="L1556" s="70" t="s">
        <v>5981</v>
      </c>
      <c r="M1556" s="70" t="s">
        <v>5981</v>
      </c>
    </row>
    <row r="1557">
      <c r="A1557" s="70"/>
      <c r="B1557" s="68" t="s">
        <v>5781</v>
      </c>
      <c r="C1557" s="68" t="s">
        <v>5982</v>
      </c>
      <c r="D1557" s="68" t="s">
        <v>5944</v>
      </c>
      <c r="E1557" s="70" t="s">
        <v>5924</v>
      </c>
      <c r="F1557" s="71">
        <f t="shared" si="67"/>
        <v>2</v>
      </c>
      <c r="G1557" s="68" t="s">
        <v>5983</v>
      </c>
      <c r="H1557" s="70"/>
      <c r="I1557" s="7" t="str">
        <f>IFERROR(__xludf.DUMMYFUNCTION("regexreplace(lower(C1557), ""_"", """")"),"chartreviewothermajormedicalproblem")</f>
        <v>chartreviewothermajormedicalproblem</v>
      </c>
      <c r="J1557" s="9" t="b">
        <f t="shared" si="2"/>
        <v>1</v>
      </c>
      <c r="K1557" s="7" t="str">
        <f>IFERROR(__xludf.DUMMYFUNCTION("regexreplace(G1557, ""_"", """")"),"chartreviewothermajormedicalproblem")</f>
        <v>chartreviewothermajormedicalproblem</v>
      </c>
      <c r="L1557" s="70" t="s">
        <v>5984</v>
      </c>
      <c r="M1557" s="70" t="s">
        <v>5984</v>
      </c>
    </row>
    <row r="1558">
      <c r="A1558" s="70"/>
      <c r="B1558" s="68" t="s">
        <v>5781</v>
      </c>
      <c r="C1558" s="68" t="s">
        <v>5985</v>
      </c>
      <c r="D1558" s="68" t="s">
        <v>19</v>
      </c>
      <c r="E1558" s="70" t="s">
        <v>5928</v>
      </c>
      <c r="F1558" s="71">
        <f t="shared" si="67"/>
        <v>2</v>
      </c>
      <c r="G1558" s="68" t="s">
        <v>5986</v>
      </c>
      <c r="H1558" s="70"/>
      <c r="I1558" s="7" t="str">
        <f>IFERROR(__xludf.DUMMYFUNCTION("regexreplace(lower(C1558), ""_"", """")"),"chartreviewothermajormedicalproblemtext")</f>
        <v>chartreviewothermajormedicalproblemtext</v>
      </c>
      <c r="J1558" s="9" t="b">
        <f t="shared" si="2"/>
        <v>1</v>
      </c>
      <c r="K1558" s="7" t="str">
        <f>IFERROR(__xludf.DUMMYFUNCTION("regexreplace(G1558, ""_"", """")"),"chartreviewothermajormedicalproblemtext")</f>
        <v>chartreviewothermajormedicalproblemtext</v>
      </c>
      <c r="L1558" s="70" t="s">
        <v>5987</v>
      </c>
      <c r="M1558" s="70" t="s">
        <v>5987</v>
      </c>
    </row>
    <row r="1559">
      <c r="A1559" s="70"/>
      <c r="B1559" s="68" t="s">
        <v>5781</v>
      </c>
      <c r="C1559" s="68" t="s">
        <v>5988</v>
      </c>
      <c r="D1559" s="68" t="s">
        <v>5944</v>
      </c>
      <c r="E1559" s="70" t="s">
        <v>5932</v>
      </c>
      <c r="F1559" s="71">
        <f t="shared" si="67"/>
        <v>2</v>
      </c>
      <c r="G1559" s="68" t="s">
        <v>5989</v>
      </c>
      <c r="H1559" s="70"/>
      <c r="I1559" s="7" t="str">
        <f>IFERROR(__xludf.DUMMYFUNCTION("regexreplace(lower(C1559), ""_"", """")"),"chartreviewotherneuraldevelopmentalproblem")</f>
        <v>chartreviewotherneuraldevelopmentalproblem</v>
      </c>
      <c r="J1559" s="9" t="b">
        <f t="shared" si="2"/>
        <v>1</v>
      </c>
      <c r="K1559" s="7" t="str">
        <f>IFERROR(__xludf.DUMMYFUNCTION("regexreplace(G1559, ""_"", """")"),"chartreviewotherneuraldevelopmentalproblem")</f>
        <v>chartreviewotherneuraldevelopmentalproblem</v>
      </c>
      <c r="L1559" s="70" t="s">
        <v>5990</v>
      </c>
      <c r="M1559" s="70" t="s">
        <v>5990</v>
      </c>
    </row>
    <row r="1560">
      <c r="A1560" s="70"/>
      <c r="B1560" s="68" t="s">
        <v>5781</v>
      </c>
      <c r="C1560" s="68" t="s">
        <v>5991</v>
      </c>
      <c r="D1560" s="68" t="s">
        <v>19</v>
      </c>
      <c r="E1560" s="70" t="s">
        <v>5936</v>
      </c>
      <c r="F1560" s="71">
        <f t="shared" si="67"/>
        <v>2</v>
      </c>
      <c r="G1560" s="68" t="s">
        <v>5992</v>
      </c>
      <c r="H1560" s="70"/>
      <c r="I1560" s="7" t="str">
        <f>IFERROR(__xludf.DUMMYFUNCTION("regexreplace(lower(C1560), ""_"", """")"),"chartreviewotherneuraldevelopmentalproblemtext")</f>
        <v>chartreviewotherneuraldevelopmentalproblemtext</v>
      </c>
      <c r="J1560" s="9" t="b">
        <f t="shared" si="2"/>
        <v>1</v>
      </c>
      <c r="K1560" s="7" t="str">
        <f>IFERROR(__xludf.DUMMYFUNCTION("regexreplace(G1560, ""_"", """")"),"chartreviewotherneuraldevelopmentalproblemtext")</f>
        <v>chartreviewotherneuraldevelopmentalproblemtext</v>
      </c>
      <c r="L1560" s="70" t="s">
        <v>5993</v>
      </c>
      <c r="M1560" s="70" t="s">
        <v>5993</v>
      </c>
    </row>
    <row r="1561">
      <c r="A1561" s="70"/>
      <c r="B1561" s="68" t="s">
        <v>5781</v>
      </c>
      <c r="C1561" s="68" t="s">
        <v>5994</v>
      </c>
      <c r="D1561" s="68" t="s">
        <v>5534</v>
      </c>
      <c r="E1561" s="70" t="s">
        <v>5995</v>
      </c>
      <c r="F1561" s="71">
        <f t="shared" si="67"/>
        <v>1</v>
      </c>
      <c r="G1561" s="68" t="s">
        <v>5996</v>
      </c>
      <c r="H1561" s="70"/>
      <c r="I1561" s="7" t="str">
        <f>IFERROR(__xludf.DUMMYFUNCTION("regexreplace(lower(C1561), ""_"", """")"),"chartreviewmotorgrossfunctionlevel")</f>
        <v>chartreviewmotorgrossfunctionlevel</v>
      </c>
      <c r="J1561" s="9" t="b">
        <f t="shared" si="2"/>
        <v>1</v>
      </c>
      <c r="K1561" s="7" t="str">
        <f>IFERROR(__xludf.DUMMYFUNCTION("regexreplace(G1561, ""_"", """")"),"chartreviewmotorgrossfunctionlevel")</f>
        <v>chartreviewmotorgrossfunctionlevel</v>
      </c>
      <c r="L1561" s="70"/>
      <c r="M1561" s="70" t="s">
        <v>5997</v>
      </c>
    </row>
    <row r="1562">
      <c r="A1562" s="12"/>
      <c r="B1562" s="12"/>
      <c r="C1562" s="13"/>
      <c r="D1562" s="12"/>
      <c r="E1562" s="12"/>
      <c r="F1562" s="12"/>
      <c r="G1562" s="12" t="s">
        <v>913</v>
      </c>
      <c r="H1562" s="12"/>
      <c r="I1562" s="7" t="str">
        <f>IFERROR(__xludf.DUMMYFUNCTION("regexreplace(lower(C1562), ""_"", """")"),"")</f>
        <v/>
      </c>
      <c r="J1562" s="9" t="str">
        <f t="shared" si="2"/>
        <v/>
      </c>
      <c r="K1562" s="7" t="str">
        <f>IFERROR(__xludf.DUMMYFUNCTION("regexreplace(G1562, ""_"", """")"),"")</f>
        <v/>
      </c>
      <c r="L1562" s="12"/>
      <c r="M1562" s="12"/>
    </row>
    <row r="1563">
      <c r="A1563" s="12"/>
      <c r="B1563" s="12"/>
      <c r="C1563" s="13"/>
      <c r="D1563" s="12"/>
      <c r="E1563" s="12"/>
      <c r="F1563" s="12"/>
      <c r="G1563" s="12"/>
      <c r="H1563" s="12"/>
      <c r="I1563" s="7" t="str">
        <f>IFERROR(__xludf.DUMMYFUNCTION("regexreplace(lower(C1563), ""_"", """")"),"")</f>
        <v/>
      </c>
      <c r="J1563" s="9" t="str">
        <f t="shared" si="2"/>
        <v/>
      </c>
      <c r="K1563" s="7" t="str">
        <f>IFERROR(__xludf.DUMMYFUNCTION("regexreplace(G1563, ""_"", """")"),"")</f>
        <v/>
      </c>
      <c r="L1563" s="12"/>
      <c r="M1563" s="12"/>
    </row>
    <row r="1564">
      <c r="A1564" s="68" t="s">
        <v>4607</v>
      </c>
      <c r="B1564" s="68" t="s">
        <v>5998</v>
      </c>
      <c r="C1564" s="68" t="s">
        <v>5999</v>
      </c>
      <c r="D1564" s="68" t="s">
        <v>43</v>
      </c>
      <c r="E1564" s="74" t="s">
        <v>6000</v>
      </c>
      <c r="F1564" s="71">
        <f t="shared" ref="F1564:F1572" si="68">counta(L1564:M1564)</f>
        <v>2</v>
      </c>
      <c r="G1564" s="68" t="s">
        <v>5999</v>
      </c>
      <c r="H1564" s="70"/>
      <c r="I1564" s="7" t="str">
        <f>IFERROR(__xludf.DUMMYFUNCTION("regexreplace(lower(C1564), ""_"", """")"),"blindness")</f>
        <v>blindness</v>
      </c>
      <c r="J1564" s="9" t="b">
        <f t="shared" si="2"/>
        <v>1</v>
      </c>
      <c r="K1564" s="7" t="str">
        <f>IFERROR(__xludf.DUMMYFUNCTION("regexreplace(G1564, ""_"", """")"),"blindness")</f>
        <v>blindness</v>
      </c>
      <c r="L1564" s="75" t="s">
        <v>5999</v>
      </c>
      <c r="M1564" s="75" t="s">
        <v>5999</v>
      </c>
    </row>
    <row r="1565">
      <c r="A1565" s="70"/>
      <c r="B1565" s="68" t="s">
        <v>5998</v>
      </c>
      <c r="C1565" s="68" t="s">
        <v>6001</v>
      </c>
      <c r="D1565" s="68" t="s">
        <v>43</v>
      </c>
      <c r="E1565" s="74" t="s">
        <v>6002</v>
      </c>
      <c r="F1565" s="71">
        <f t="shared" si="68"/>
        <v>2</v>
      </c>
      <c r="G1565" s="68" t="s">
        <v>6003</v>
      </c>
      <c r="H1565" s="70"/>
      <c r="I1565" s="7" t="str">
        <f>IFERROR(__xludf.DUMMYFUNCTION("regexreplace(lower(C1565), ""_"", """")"),"moderateseverecerebralpalsy")</f>
        <v>moderateseverecerebralpalsy</v>
      </c>
      <c r="J1565" s="9" t="b">
        <f t="shared" si="2"/>
        <v>1</v>
      </c>
      <c r="K1565" s="7" t="str">
        <f>IFERROR(__xludf.DUMMYFUNCTION("regexreplace(G1565, ""_"", """")"),"moderateseverecerebralpalsy")</f>
        <v>moderateseverecerebralpalsy</v>
      </c>
      <c r="L1565" s="75" t="s">
        <v>6004</v>
      </c>
      <c r="M1565" s="75" t="s">
        <v>6004</v>
      </c>
    </row>
    <row r="1566">
      <c r="A1566" s="70"/>
      <c r="B1566" s="68" t="s">
        <v>5998</v>
      </c>
      <c r="C1566" s="73" t="s">
        <v>6005</v>
      </c>
      <c r="D1566" s="68" t="s">
        <v>43</v>
      </c>
      <c r="E1566" s="74" t="s">
        <v>6006</v>
      </c>
      <c r="F1566" s="71">
        <f t="shared" si="68"/>
        <v>2</v>
      </c>
      <c r="G1566" s="73" t="s">
        <v>6007</v>
      </c>
      <c r="H1566" s="70"/>
      <c r="I1566" s="7" t="str">
        <f>IFERROR(__xludf.DUMMYFUNCTION("regexreplace(lower(C1566), ""_"", """")"),"cerebralpalsymerge")</f>
        <v>cerebralpalsymerge</v>
      </c>
      <c r="J1566" s="9" t="b">
        <f t="shared" si="2"/>
        <v>1</v>
      </c>
      <c r="K1566" s="7" t="str">
        <f>IFERROR(__xludf.DUMMYFUNCTION("regexreplace(G1566, ""_"", """")"),"cerebralpalsymerge")</f>
        <v>cerebralpalsymerge</v>
      </c>
      <c r="L1566" s="75" t="s">
        <v>6008</v>
      </c>
      <c r="M1566" s="75" t="s">
        <v>6008</v>
      </c>
    </row>
    <row r="1567">
      <c r="A1567" s="70"/>
      <c r="B1567" s="68" t="s">
        <v>5998</v>
      </c>
      <c r="C1567" s="73" t="s">
        <v>6009</v>
      </c>
      <c r="D1567" s="68" t="s">
        <v>43</v>
      </c>
      <c r="E1567" s="74" t="s">
        <v>6010</v>
      </c>
      <c r="F1567" s="71">
        <f t="shared" si="68"/>
        <v>1</v>
      </c>
      <c r="G1567" s="73" t="s">
        <v>6011</v>
      </c>
      <c r="H1567" s="70"/>
      <c r="I1567" s="7" t="str">
        <f>IFERROR(__xludf.DUMMYFUNCTION("regexreplace(lower(C1567), ""_"", """")"),"gastrostomytubeb")</f>
        <v>gastrostomytubeb</v>
      </c>
      <c r="J1567" s="9" t="b">
        <f t="shared" si="2"/>
        <v>1</v>
      </c>
      <c r="K1567" s="7" t="str">
        <f>IFERROR(__xludf.DUMMYFUNCTION("regexreplace(G1567, ""_"", """")"),"gastrostomytubeb")</f>
        <v>gastrostomytubeb</v>
      </c>
      <c r="L1567" s="70"/>
      <c r="M1567" s="75" t="s">
        <v>6012</v>
      </c>
    </row>
    <row r="1568">
      <c r="A1568" s="70"/>
      <c r="B1568" s="68" t="s">
        <v>5998</v>
      </c>
      <c r="C1568" s="76" t="s">
        <v>6013</v>
      </c>
      <c r="D1568" s="68" t="s">
        <v>6014</v>
      </c>
      <c r="E1568" s="74" t="s">
        <v>6015</v>
      </c>
      <c r="F1568" s="71">
        <f t="shared" si="68"/>
        <v>2</v>
      </c>
      <c r="G1568" s="73" t="s">
        <v>6016</v>
      </c>
      <c r="H1568" s="70"/>
      <c r="I1568" s="7" t="str">
        <f>IFERROR(__xludf.DUMMYFUNCTION("regexreplace(lower(C1568), ""_"", """")"),"grossmotorfunctionlevelseverity")</f>
        <v>grossmotorfunctionlevelseverity</v>
      </c>
      <c r="J1568" s="9" t="b">
        <f t="shared" si="2"/>
        <v>1</v>
      </c>
      <c r="K1568" s="7" t="str">
        <f>IFERROR(__xludf.DUMMYFUNCTION("regexreplace(G1568, ""_"", """")"),"grossmotorfunctionlevelseverity")</f>
        <v>grossmotorfunctionlevelseverity</v>
      </c>
      <c r="L1568" s="75" t="s">
        <v>6017</v>
      </c>
      <c r="M1568" s="75" t="s">
        <v>6017</v>
      </c>
    </row>
    <row r="1569">
      <c r="A1569" s="70"/>
      <c r="B1569" s="68" t="s">
        <v>5998</v>
      </c>
      <c r="C1569" s="68" t="s">
        <v>6018</v>
      </c>
      <c r="D1569" s="68" t="s">
        <v>43</v>
      </c>
      <c r="E1569" s="74" t="s">
        <v>6019</v>
      </c>
      <c r="F1569" s="71">
        <f t="shared" si="68"/>
        <v>2</v>
      </c>
      <c r="G1569" s="68" t="s">
        <v>6020</v>
      </c>
      <c r="H1569" s="70"/>
      <c r="I1569" s="7" t="str">
        <f>IFERROR(__xludf.DUMMYFUNCTION("regexreplace(lower(C1569), ""_"", """")"),"hearingimpairedwithaid")</f>
        <v>hearingimpairedwithaid</v>
      </c>
      <c r="J1569" s="9" t="b">
        <f t="shared" si="2"/>
        <v>1</v>
      </c>
      <c r="K1569" s="7" t="str">
        <f>IFERROR(__xludf.DUMMYFUNCTION("regexreplace(G1569, ""_"", """")"),"hearingimpairedwithaid")</f>
        <v>hearingimpairedwithaid</v>
      </c>
      <c r="L1569" s="75" t="s">
        <v>6021</v>
      </c>
      <c r="M1569" s="75" t="s">
        <v>6021</v>
      </c>
    </row>
    <row r="1570">
      <c r="A1570" s="70"/>
      <c r="B1570" s="68" t="s">
        <v>5998</v>
      </c>
      <c r="C1570" s="68" t="s">
        <v>6022</v>
      </c>
      <c r="D1570" s="68" t="s">
        <v>6014</v>
      </c>
      <c r="E1570" s="74" t="s">
        <v>6023</v>
      </c>
      <c r="F1570" s="71">
        <f t="shared" si="68"/>
        <v>2</v>
      </c>
      <c r="G1570" s="68" t="s">
        <v>6024</v>
      </c>
      <c r="H1570" s="70"/>
      <c r="I1570" s="7" t="str">
        <f>IFERROR(__xludf.DUMMYFUNCTION("regexreplace(lower(C1570), ""_"", """")"),"hearingimpairedlevel")</f>
        <v>hearingimpairedlevel</v>
      </c>
      <c r="J1570" s="9" t="b">
        <f t="shared" si="2"/>
        <v>1</v>
      </c>
      <c r="K1570" s="7" t="str">
        <f>IFERROR(__xludf.DUMMYFUNCTION("regexreplace(G1570, ""_"", """")"),"hearingimpairedlevel")</f>
        <v>hearingimpairedlevel</v>
      </c>
      <c r="L1570" s="75" t="s">
        <v>5216</v>
      </c>
      <c r="M1570" s="75" t="s">
        <v>5216</v>
      </c>
    </row>
    <row r="1571">
      <c r="A1571" s="70"/>
      <c r="B1571" s="68" t="s">
        <v>5998</v>
      </c>
      <c r="C1571" s="68" t="s">
        <v>6025</v>
      </c>
      <c r="D1571" s="68" t="s">
        <v>43</v>
      </c>
      <c r="E1571" s="74" t="s">
        <v>6026</v>
      </c>
      <c r="F1571" s="71">
        <f t="shared" si="68"/>
        <v>1</v>
      </c>
      <c r="G1571" s="68" t="s">
        <v>6027</v>
      </c>
      <c r="H1571" s="70"/>
      <c r="I1571" s="7" t="str">
        <f>IFERROR(__xludf.DUMMYFUNCTION("regexreplace(lower(C1571), ""_"", """")"),"multipleimpairment")</f>
        <v>multipleimpairment</v>
      </c>
      <c r="J1571" s="9" t="b">
        <f t="shared" si="2"/>
        <v>1</v>
      </c>
      <c r="K1571" s="7" t="str">
        <f>IFERROR(__xludf.DUMMYFUNCTION("regexreplace(G1571, ""_"", """")"),"multipleimpairment")</f>
        <v>multipleimpairment</v>
      </c>
      <c r="L1571" s="70"/>
      <c r="M1571" s="75" t="s">
        <v>6028</v>
      </c>
    </row>
    <row r="1572">
      <c r="A1572" s="70"/>
      <c r="B1572" s="68" t="s">
        <v>5998</v>
      </c>
      <c r="C1572" s="68" t="s">
        <v>6029</v>
      </c>
      <c r="D1572" s="68" t="s">
        <v>43</v>
      </c>
      <c r="E1572" s="74" t="s">
        <v>6030</v>
      </c>
      <c r="F1572" s="71">
        <f t="shared" si="68"/>
        <v>2</v>
      </c>
      <c r="G1572" s="68" t="s">
        <v>6031</v>
      </c>
      <c r="H1572" s="70"/>
      <c r="I1572" s="7" t="str">
        <f>IFERROR(__xludf.DUMMYFUNCTION("regexreplace(lower(C1572), ""_"", """")"),"afterdischargeseizure")</f>
        <v>afterdischargeseizure</v>
      </c>
      <c r="J1572" s="9" t="b">
        <f t="shared" si="2"/>
        <v>1</v>
      </c>
      <c r="K1572" s="7" t="str">
        <f>IFERROR(__xludf.DUMMYFUNCTION("regexreplace(G1572, ""_"", """")"),"afterdischargeseizure")</f>
        <v>afterdischargeseizure</v>
      </c>
      <c r="L1572" s="75" t="s">
        <v>6032</v>
      </c>
      <c r="M1572" s="75" t="s">
        <v>6032</v>
      </c>
    </row>
    <row r="1573">
      <c r="A1573" s="12"/>
      <c r="B1573" s="12"/>
      <c r="C1573" s="13"/>
      <c r="D1573" s="12"/>
      <c r="E1573" s="12"/>
      <c r="F1573" s="12"/>
      <c r="G1573" s="12"/>
      <c r="H1573" s="12"/>
      <c r="I1573" s="7" t="str">
        <f>IFERROR(__xludf.DUMMYFUNCTION("regexreplace(lower(C1573), ""_"", """")"),"")</f>
        <v/>
      </c>
      <c r="J1573" s="9" t="str">
        <f t="shared" si="2"/>
        <v/>
      </c>
      <c r="K1573" s="7" t="str">
        <f>IFERROR(__xludf.DUMMYFUNCTION("regexreplace(G1573, ""_"", """")"),"")</f>
        <v/>
      </c>
      <c r="L1573" s="12"/>
      <c r="M1573" s="12"/>
    </row>
    <row r="1574">
      <c r="A1574" s="68" t="s">
        <v>4607</v>
      </c>
      <c r="B1574" s="68" t="s">
        <v>6033</v>
      </c>
      <c r="C1574" s="68" t="s">
        <v>6034</v>
      </c>
      <c r="D1574" s="68" t="s">
        <v>6034</v>
      </c>
      <c r="E1574" s="74" t="s">
        <v>6035</v>
      </c>
      <c r="F1574" s="71">
        <f t="shared" ref="F1574:F1586" si="69">counta(L1574:M1574)</f>
        <v>1</v>
      </c>
      <c r="G1574" s="68" t="s">
        <v>6036</v>
      </c>
      <c r="H1574" s="77"/>
      <c r="I1574" s="7" t="str">
        <f>IFERROR(__xludf.DUMMYFUNCTION("regexreplace(lower(C1574), ""_"", """")"),"flagadjudicatedoutcome")</f>
        <v>flagadjudicatedoutcome</v>
      </c>
      <c r="J1574" s="9" t="b">
        <f t="shared" si="2"/>
        <v>1</v>
      </c>
      <c r="K1574" s="7" t="str">
        <f>IFERROR(__xludf.DUMMYFUNCTION("regexreplace(G1574, ""_"", """")"),"flagadjudicatedoutcome")</f>
        <v>flagadjudicatedoutcome</v>
      </c>
      <c r="L1574" s="70"/>
      <c r="M1574" s="75" t="s">
        <v>6037</v>
      </c>
    </row>
    <row r="1575">
      <c r="A1575" s="70"/>
      <c r="B1575" s="68" t="s">
        <v>6033</v>
      </c>
      <c r="C1575" s="68" t="s">
        <v>6038</v>
      </c>
      <c r="D1575" s="68" t="s">
        <v>43</v>
      </c>
      <c r="E1575" s="74" t="s">
        <v>6039</v>
      </c>
      <c r="F1575" s="71">
        <f t="shared" si="69"/>
        <v>2</v>
      </c>
      <c r="G1575" s="68" t="s">
        <v>6040</v>
      </c>
      <c r="H1575" s="70"/>
      <c r="I1575" s="7" t="str">
        <f>IFERROR(__xludf.DUMMYFUNCTION("regexreplace(lower(C1575), ""_"", """")"),"normalprimaryoutcome")</f>
        <v>normalprimaryoutcome</v>
      </c>
      <c r="J1575" s="9" t="b">
        <f t="shared" si="2"/>
        <v>1</v>
      </c>
      <c r="K1575" s="7" t="str">
        <f>IFERROR(__xludf.DUMMYFUNCTION("regexreplace(G1575, ""_"", """")"),"normalprimaryoutcome")</f>
        <v>normalprimaryoutcome</v>
      </c>
      <c r="L1575" s="75" t="s">
        <v>6041</v>
      </c>
      <c r="M1575" s="75" t="s">
        <v>6041</v>
      </c>
    </row>
    <row r="1576">
      <c r="A1576" s="70"/>
      <c r="B1576" s="68" t="s">
        <v>6033</v>
      </c>
      <c r="C1576" s="68" t="s">
        <v>6042</v>
      </c>
      <c r="D1576" s="68" t="s">
        <v>6014</v>
      </c>
      <c r="E1576" s="74" t="s">
        <v>6043</v>
      </c>
      <c r="F1576" s="71">
        <f t="shared" si="69"/>
        <v>1</v>
      </c>
      <c r="G1576" s="68" t="s">
        <v>6044</v>
      </c>
      <c r="H1576" s="70"/>
      <c r="I1576" s="7" t="str">
        <f>IFERROR(__xludf.DUMMYFUNCTION("regexreplace(lower(C1576), ""_"", """")"),"bayleyiiilanguage")</f>
        <v>bayleyiiilanguage</v>
      </c>
      <c r="J1576" s="9" t="b">
        <f t="shared" si="2"/>
        <v>1</v>
      </c>
      <c r="K1576" s="7" t="str">
        <f>IFERROR(__xludf.DUMMYFUNCTION("regexreplace(G1576, ""_"", """")"),"bayleyiiilanguage")</f>
        <v>bayleyiiilanguage</v>
      </c>
      <c r="L1576" s="70"/>
      <c r="M1576" s="75" t="s">
        <v>6045</v>
      </c>
    </row>
    <row r="1577">
      <c r="A1577" s="70"/>
      <c r="B1577" s="68" t="s">
        <v>6033</v>
      </c>
      <c r="C1577" s="68" t="s">
        <v>6046</v>
      </c>
      <c r="D1577" s="68" t="s">
        <v>6014</v>
      </c>
      <c r="E1577" s="74" t="s">
        <v>6047</v>
      </c>
      <c r="F1577" s="71">
        <f t="shared" si="69"/>
        <v>1</v>
      </c>
      <c r="G1577" s="68" t="s">
        <v>6048</v>
      </c>
      <c r="H1577" s="70"/>
      <c r="I1577" s="7" t="str">
        <f>IFERROR(__xludf.DUMMYFUNCTION("regexreplace(lower(C1577), ""_"", """")"),"bayleyiiimotor")</f>
        <v>bayleyiiimotor</v>
      </c>
      <c r="J1577" s="9" t="b">
        <f t="shared" si="2"/>
        <v>1</v>
      </c>
      <c r="K1577" s="7" t="str">
        <f>IFERROR(__xludf.DUMMYFUNCTION("regexreplace(G1577, ""_"", """")"),"bayleyiiimotor")</f>
        <v>bayleyiiimotor</v>
      </c>
      <c r="L1577" s="70"/>
      <c r="M1577" s="75" t="s">
        <v>6049</v>
      </c>
    </row>
    <row r="1578">
      <c r="A1578" s="70"/>
      <c r="B1578" s="68" t="s">
        <v>6033</v>
      </c>
      <c r="C1578" s="68" t="s">
        <v>6050</v>
      </c>
      <c r="D1578" s="68" t="s">
        <v>6014</v>
      </c>
      <c r="E1578" s="74" t="s">
        <v>6051</v>
      </c>
      <c r="F1578" s="71">
        <f t="shared" si="69"/>
        <v>2</v>
      </c>
      <c r="G1578" s="68" t="s">
        <v>6052</v>
      </c>
      <c r="H1578" s="70"/>
      <c r="I1578" s="7" t="str">
        <f>IFERROR(__xludf.DUMMYFUNCTION("regexreplace(lower(C1578), ""_"", """")"),"bayleyiiicognitive")</f>
        <v>bayleyiiicognitive</v>
      </c>
      <c r="J1578" s="9" t="b">
        <f t="shared" si="2"/>
        <v>1</v>
      </c>
      <c r="K1578" s="7" t="str">
        <f>IFERROR(__xludf.DUMMYFUNCTION("regexreplace(G1578, ""_"", """")"),"bayleyiiicognitive")</f>
        <v>bayleyiiicognitive</v>
      </c>
      <c r="L1578" s="75" t="s">
        <v>6053</v>
      </c>
      <c r="M1578" s="75" t="s">
        <v>6053</v>
      </c>
    </row>
    <row r="1579">
      <c r="A1579" s="70"/>
      <c r="B1579" s="68" t="s">
        <v>6033</v>
      </c>
      <c r="C1579" s="68" t="s">
        <v>6054</v>
      </c>
      <c r="D1579" s="68" t="s">
        <v>43</v>
      </c>
      <c r="E1579" s="74" t="s">
        <v>6055</v>
      </c>
      <c r="F1579" s="71">
        <f t="shared" si="69"/>
        <v>2</v>
      </c>
      <c r="G1579" s="68" t="s">
        <v>6056</v>
      </c>
      <c r="H1579" s="70"/>
      <c r="I1579" s="7" t="str">
        <f>IFERROR(__xludf.DUMMYFUNCTION("regexreplace(lower(C1579), ""_"", """")"),"deathbeforefollowup")</f>
        <v>deathbeforefollowup</v>
      </c>
      <c r="J1579" s="9" t="b">
        <f t="shared" si="2"/>
        <v>1</v>
      </c>
      <c r="K1579" s="7" t="str">
        <f>IFERROR(__xludf.DUMMYFUNCTION("regexreplace(G1579, ""_"", """")"),"deathbeforefollowup")</f>
        <v>deathbeforefollowup</v>
      </c>
      <c r="L1579" s="75" t="s">
        <v>6057</v>
      </c>
      <c r="M1579" s="75" t="s">
        <v>6057</v>
      </c>
    </row>
    <row r="1580">
      <c r="A1580" s="70"/>
      <c r="B1580" s="68" t="s">
        <v>6033</v>
      </c>
      <c r="C1580" s="68" t="s">
        <v>6058</v>
      </c>
      <c r="D1580" s="68" t="s">
        <v>43</v>
      </c>
      <c r="E1580" s="74" t="s">
        <v>6059</v>
      </c>
      <c r="F1580" s="71">
        <f t="shared" si="69"/>
        <v>2</v>
      </c>
      <c r="G1580" s="68" t="s">
        <v>6060</v>
      </c>
      <c r="H1580" s="70"/>
      <c r="I1580" s="7" t="str">
        <f>IFERROR(__xludf.DUMMYFUNCTION("regexreplace(lower(C1580), ""_"", """")"),"deathbeforedischarge")</f>
        <v>deathbeforedischarge</v>
      </c>
      <c r="J1580" s="9" t="b">
        <f t="shared" si="2"/>
        <v>1</v>
      </c>
      <c r="K1580" s="7" t="str">
        <f>IFERROR(__xludf.DUMMYFUNCTION("regexreplace(G1580, ""_"", """")"),"deathbeforedischarge")</f>
        <v>deathbeforedischarge</v>
      </c>
      <c r="L1580" s="75" t="s">
        <v>6061</v>
      </c>
      <c r="M1580" s="75" t="s">
        <v>6061</v>
      </c>
    </row>
    <row r="1581">
      <c r="A1581" s="70"/>
      <c r="B1581" s="68" t="s">
        <v>6033</v>
      </c>
      <c r="C1581" s="68" t="s">
        <v>6062</v>
      </c>
      <c r="D1581" s="68" t="s">
        <v>6014</v>
      </c>
      <c r="E1581" s="74" t="s">
        <v>6063</v>
      </c>
      <c r="F1581" s="71">
        <f t="shared" si="69"/>
        <v>2</v>
      </c>
      <c r="G1581" s="68" t="s">
        <v>6064</v>
      </c>
      <c r="H1581" s="70"/>
      <c r="I1581" s="7" t="str">
        <f>IFERROR(__xludf.DUMMYFUNCTION("regexreplace(lower(C1581), ""_"", """")"),"disabilitylevelsurvivor")</f>
        <v>disabilitylevelsurvivor</v>
      </c>
      <c r="J1581" s="9" t="b">
        <f t="shared" si="2"/>
        <v>1</v>
      </c>
      <c r="K1581" s="7" t="str">
        <f>IFERROR(__xludf.DUMMYFUNCTION("regexreplace(G1581, ""_"", """")"),"disabilitylevelsurvivor")</f>
        <v>disabilitylevelsurvivor</v>
      </c>
      <c r="L1581" s="75" t="s">
        <v>6065</v>
      </c>
      <c r="M1581" s="75" t="s">
        <v>6065</v>
      </c>
    </row>
    <row r="1582">
      <c r="A1582" s="70"/>
      <c r="B1582" s="68" t="s">
        <v>6033</v>
      </c>
      <c r="C1582" s="73" t="s">
        <v>6066</v>
      </c>
      <c r="D1582" s="68" t="s">
        <v>6014</v>
      </c>
      <c r="E1582" s="74" t="s">
        <v>6067</v>
      </c>
      <c r="F1582" s="71">
        <f t="shared" si="69"/>
        <v>2</v>
      </c>
      <c r="G1582" s="73" t="s">
        <v>6068</v>
      </c>
      <c r="H1582" s="70"/>
      <c r="I1582" s="7" t="str">
        <f>IFERROR(__xludf.DUMMYFUNCTION("regexreplace(lower(C1582), ""_"", """")"),"disabilityleveldeath4category")</f>
        <v>disabilityleveldeath4category</v>
      </c>
      <c r="J1582" s="9" t="b">
        <f t="shared" si="2"/>
        <v>1</v>
      </c>
      <c r="K1582" s="7" t="str">
        <f>IFERROR(__xludf.DUMMYFUNCTION("regexreplace(G1582, ""_"", """")"),"disabilityleveldeath4category")</f>
        <v>disabilityleveldeath4category</v>
      </c>
      <c r="L1582" s="75" t="s">
        <v>6069</v>
      </c>
      <c r="M1582" s="75" t="s">
        <v>6069</v>
      </c>
    </row>
    <row r="1583">
      <c r="A1583" s="70"/>
      <c r="B1583" s="68" t="s">
        <v>6033</v>
      </c>
      <c r="C1583" s="68" t="s">
        <v>6070</v>
      </c>
      <c r="D1583" s="68" t="s">
        <v>43</v>
      </c>
      <c r="E1583" s="74" t="s">
        <v>6071</v>
      </c>
      <c r="F1583" s="71">
        <f t="shared" si="69"/>
        <v>2</v>
      </c>
      <c r="G1583" s="68" t="s">
        <v>6072</v>
      </c>
      <c r="H1583" s="77"/>
      <c r="I1583" s="7" t="str">
        <f>IFERROR(__xludf.DUMMYFUNCTION("regexreplace(lower(C1583), ""_"", """")"),"moderateseveredisabilityordeath")</f>
        <v>moderateseveredisabilityordeath</v>
      </c>
      <c r="J1583" s="9" t="b">
        <f t="shared" si="2"/>
        <v>1</v>
      </c>
      <c r="K1583" s="7" t="str">
        <f>IFERROR(__xludf.DUMMYFUNCTION("regexreplace(G1583, ""_"", """")"),"moderateseveredisabilityordeath")</f>
        <v>moderateseveredisabilityordeath</v>
      </c>
      <c r="L1583" s="75" t="s">
        <v>6073</v>
      </c>
      <c r="M1583" s="75" t="s">
        <v>6073</v>
      </c>
    </row>
    <row r="1584">
      <c r="A1584" s="70"/>
      <c r="B1584" s="68" t="s">
        <v>6033</v>
      </c>
      <c r="C1584" s="68" t="s">
        <v>6074</v>
      </c>
      <c r="D1584" s="68" t="s">
        <v>43</v>
      </c>
      <c r="E1584" s="74" t="s">
        <v>6075</v>
      </c>
      <c r="F1584" s="71">
        <f t="shared" si="69"/>
        <v>2</v>
      </c>
      <c r="G1584" s="68" t="s">
        <v>6076</v>
      </c>
      <c r="H1584" s="70"/>
      <c r="I1584" s="7" t="str">
        <f>IFERROR(__xludf.DUMMYFUNCTION("regexreplace(lower(C1584), ""_"", """")"),"moderateseveredisabilitysurvivor")</f>
        <v>moderateseveredisabilitysurvivor</v>
      </c>
      <c r="J1584" s="9" t="b">
        <f t="shared" si="2"/>
        <v>1</v>
      </c>
      <c r="K1584" s="7" t="str">
        <f>IFERROR(__xludf.DUMMYFUNCTION("regexreplace(G1584, ""_"", """")"),"moderateseveredisabilitysurvivor")</f>
        <v>moderateseveredisabilitysurvivor</v>
      </c>
      <c r="L1584" s="75" t="s">
        <v>6077</v>
      </c>
      <c r="M1584" s="75" t="s">
        <v>6077</v>
      </c>
    </row>
    <row r="1585">
      <c r="A1585" s="70"/>
      <c r="B1585" s="68" t="s">
        <v>6033</v>
      </c>
      <c r="C1585" s="68" t="s">
        <v>6078</v>
      </c>
      <c r="D1585" s="68" t="s">
        <v>6014</v>
      </c>
      <c r="E1585" s="74" t="s">
        <v>6079</v>
      </c>
      <c r="F1585" s="71">
        <f t="shared" si="69"/>
        <v>0</v>
      </c>
      <c r="G1585" s="68" t="s">
        <v>6080</v>
      </c>
      <c r="H1585" s="77" t="s">
        <v>6081</v>
      </c>
      <c r="I1585" s="7" t="str">
        <f>IFERROR(__xludf.DUMMYFUNCTION("regexreplace(lower(C1585), ""_"", """")"),"disabilityleveldeath")</f>
        <v>disabilityleveldeath</v>
      </c>
      <c r="J1585" s="9" t="b">
        <f t="shared" si="2"/>
        <v>1</v>
      </c>
      <c r="K1585" s="7" t="str">
        <f>IFERROR(__xludf.DUMMYFUNCTION("regexreplace(G1585, ""_"", """")"),"disabilityleveldeath")</f>
        <v>disabilityleveldeath</v>
      </c>
      <c r="L1585" s="70"/>
      <c r="M1585" s="70"/>
    </row>
    <row r="1586">
      <c r="A1586" s="70"/>
      <c r="B1586" s="68" t="s">
        <v>6033</v>
      </c>
      <c r="C1586" s="68" t="s">
        <v>6082</v>
      </c>
      <c r="D1586" s="68" t="s">
        <v>6082</v>
      </c>
      <c r="E1586" s="74" t="s">
        <v>6083</v>
      </c>
      <c r="F1586" s="71">
        <f t="shared" si="69"/>
        <v>1</v>
      </c>
      <c r="G1586" s="68" t="s">
        <v>6084</v>
      </c>
      <c r="H1586" s="70"/>
      <c r="I1586" s="7" t="str">
        <f>IFERROR(__xludf.DUMMYFUNCTION("regexreplace(lower(C1586), ""_"", """")"),"outcomegroup")</f>
        <v>outcomegroup</v>
      </c>
      <c r="J1586" s="9" t="b">
        <f t="shared" si="2"/>
        <v>1</v>
      </c>
      <c r="K1586" s="7" t="str">
        <f>IFERROR(__xludf.DUMMYFUNCTION("regexreplace(G1586, ""_"", """")"),"outcomegroup")</f>
        <v>outcomegroup</v>
      </c>
      <c r="L1586" s="70"/>
      <c r="M1586" s="75" t="s">
        <v>6085</v>
      </c>
    </row>
    <row r="1587">
      <c r="A1587" s="12"/>
      <c r="B1587" s="12"/>
      <c r="C1587" s="13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6148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6149</v>
      </c>
      <c r="B4" s="95" t="s">
        <v>6130</v>
      </c>
      <c r="C4" s="95" t="s">
        <v>6123</v>
      </c>
      <c r="D4" s="95" t="s">
        <v>6130</v>
      </c>
      <c r="E4" s="95" t="s">
        <v>6130</v>
      </c>
    </row>
    <row r="5">
      <c r="B5" s="96"/>
      <c r="C5" s="96"/>
      <c r="D5" s="96"/>
    </row>
    <row r="6">
      <c r="B6" s="96"/>
      <c r="C6" s="96"/>
      <c r="D6" s="96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7085</v>
      </c>
      <c r="B2" s="104" t="s">
        <v>6124</v>
      </c>
      <c r="C2" s="104" t="s">
        <v>6123</v>
      </c>
      <c r="D2" s="104" t="s">
        <v>6123</v>
      </c>
    </row>
    <row r="3">
      <c r="A3" s="108" t="s">
        <v>7086</v>
      </c>
      <c r="B3" s="108" t="s">
        <v>6123</v>
      </c>
      <c r="C3" s="105" t="s">
        <v>6127</v>
      </c>
      <c r="D3" s="105" t="s">
        <v>6127</v>
      </c>
    </row>
    <row r="4">
      <c r="A4" s="95" t="s">
        <v>7087</v>
      </c>
      <c r="B4" s="95" t="s">
        <v>6127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7088</v>
      </c>
      <c r="B2" s="104" t="s">
        <v>6124</v>
      </c>
      <c r="C2" s="104" t="s">
        <v>6123</v>
      </c>
      <c r="D2" s="104" t="s">
        <v>6123</v>
      </c>
    </row>
    <row r="3">
      <c r="A3" s="108" t="s">
        <v>7089</v>
      </c>
      <c r="B3" s="108" t="s">
        <v>6123</v>
      </c>
      <c r="C3" s="105" t="s">
        <v>6127</v>
      </c>
      <c r="D3" s="105" t="s">
        <v>6127</v>
      </c>
    </row>
    <row r="4">
      <c r="A4" s="95" t="s">
        <v>7090</v>
      </c>
      <c r="B4" s="95" t="s">
        <v>6123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7091</v>
      </c>
      <c r="B2" s="104" t="s">
        <v>6124</v>
      </c>
      <c r="C2" s="104" t="s">
        <v>6123</v>
      </c>
      <c r="D2" s="104" t="s">
        <v>6123</v>
      </c>
    </row>
    <row r="3">
      <c r="A3" s="108" t="s">
        <v>7092</v>
      </c>
      <c r="B3" s="108" t="s">
        <v>6123</v>
      </c>
      <c r="C3" s="105" t="s">
        <v>6127</v>
      </c>
      <c r="D3" s="105" t="s">
        <v>6127</v>
      </c>
    </row>
    <row r="4">
      <c r="A4" s="95" t="s">
        <v>7093</v>
      </c>
      <c r="B4" s="95" t="s">
        <v>6123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7094</v>
      </c>
      <c r="B2" s="104" t="s">
        <v>6124</v>
      </c>
      <c r="C2" s="104" t="s">
        <v>6123</v>
      </c>
      <c r="D2" s="104" t="s">
        <v>6123</v>
      </c>
    </row>
    <row r="3">
      <c r="A3" s="108" t="s">
        <v>7095</v>
      </c>
      <c r="B3" s="108" t="s">
        <v>6123</v>
      </c>
      <c r="C3" s="105" t="s">
        <v>6127</v>
      </c>
      <c r="D3" s="105" t="s">
        <v>6127</v>
      </c>
    </row>
    <row r="4">
      <c r="A4" s="95" t="s">
        <v>7096</v>
      </c>
      <c r="B4" s="95" t="s">
        <v>6127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7097</v>
      </c>
      <c r="B2" s="104" t="s">
        <v>6123</v>
      </c>
      <c r="C2" s="104" t="s">
        <v>6123</v>
      </c>
    </row>
    <row r="3">
      <c r="A3" s="108" t="s">
        <v>7098</v>
      </c>
      <c r="B3" s="105" t="s">
        <v>6127</v>
      </c>
      <c r="C3" s="105" t="s">
        <v>6127</v>
      </c>
    </row>
    <row r="4">
      <c r="A4" s="95" t="s">
        <v>7099</v>
      </c>
      <c r="B4" s="95" t="s">
        <v>6130</v>
      </c>
      <c r="C4" s="95" t="s">
        <v>6130</v>
      </c>
    </row>
    <row r="5">
      <c r="A5" s="95" t="s">
        <v>7100</v>
      </c>
      <c r="B5" s="95" t="s">
        <v>6145</v>
      </c>
      <c r="C5" s="95" t="s">
        <v>6145</v>
      </c>
    </row>
    <row r="6">
      <c r="A6" s="95"/>
      <c r="B6" s="95"/>
      <c r="C6" s="95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7.7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7101</v>
      </c>
      <c r="B2" s="104" t="s">
        <v>6124</v>
      </c>
      <c r="C2" s="104" t="s">
        <v>6123</v>
      </c>
      <c r="D2" s="104" t="s">
        <v>6123</v>
      </c>
    </row>
    <row r="3">
      <c r="A3" s="108" t="s">
        <v>7102</v>
      </c>
      <c r="B3" s="108" t="s">
        <v>6123</v>
      </c>
      <c r="C3" s="105" t="s">
        <v>6127</v>
      </c>
      <c r="D3" s="105" t="s">
        <v>6127</v>
      </c>
    </row>
    <row r="4">
      <c r="A4" s="95" t="s">
        <v>7103</v>
      </c>
      <c r="B4" s="95" t="s">
        <v>6127</v>
      </c>
      <c r="C4" s="95" t="s">
        <v>6130</v>
      </c>
      <c r="D4" s="95" t="s">
        <v>6130</v>
      </c>
    </row>
    <row r="5">
      <c r="A5" s="95" t="s">
        <v>7104</v>
      </c>
      <c r="B5" s="95" t="s">
        <v>6130</v>
      </c>
      <c r="C5" s="95" t="s">
        <v>6145</v>
      </c>
      <c r="D5" s="95" t="s">
        <v>6145</v>
      </c>
    </row>
    <row r="6">
      <c r="A6" s="95"/>
      <c r="B6" s="95"/>
      <c r="C6" s="95"/>
      <c r="D6" s="95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8.2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7105</v>
      </c>
      <c r="B2" s="104" t="s">
        <v>6124</v>
      </c>
      <c r="C2" s="104" t="s">
        <v>6123</v>
      </c>
      <c r="D2" s="104" t="s">
        <v>6123</v>
      </c>
    </row>
    <row r="3">
      <c r="A3" s="108" t="s">
        <v>7106</v>
      </c>
      <c r="B3" s="108" t="s">
        <v>6123</v>
      </c>
      <c r="C3" s="105" t="s">
        <v>6127</v>
      </c>
      <c r="D3" s="105" t="s">
        <v>6127</v>
      </c>
    </row>
    <row r="4">
      <c r="A4" s="95" t="s">
        <v>7107</v>
      </c>
      <c r="B4" s="95" t="s">
        <v>6127</v>
      </c>
      <c r="C4" s="95" t="s">
        <v>6130</v>
      </c>
      <c r="D4" s="95" t="s">
        <v>6130</v>
      </c>
    </row>
    <row r="5">
      <c r="A5" s="95" t="s">
        <v>7108</v>
      </c>
      <c r="B5" s="95" t="s">
        <v>6130</v>
      </c>
      <c r="C5" s="95" t="s">
        <v>6145</v>
      </c>
      <c r="D5" s="95" t="s">
        <v>6145</v>
      </c>
    </row>
    <row r="6">
      <c r="A6" s="95"/>
      <c r="B6" s="95"/>
      <c r="C6" s="95"/>
      <c r="D6" s="95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2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7109</v>
      </c>
      <c r="B2" s="104" t="s">
        <v>6124</v>
      </c>
      <c r="C2" s="104" t="s">
        <v>6123</v>
      </c>
      <c r="D2" s="104" t="s">
        <v>6123</v>
      </c>
    </row>
    <row r="3">
      <c r="A3" s="108" t="s">
        <v>7110</v>
      </c>
      <c r="B3" s="108" t="s">
        <v>6123</v>
      </c>
      <c r="C3" s="105" t="s">
        <v>6127</v>
      </c>
      <c r="D3" s="105" t="s">
        <v>6127</v>
      </c>
    </row>
    <row r="4">
      <c r="A4" s="95" t="s">
        <v>7111</v>
      </c>
      <c r="B4" s="95" t="s">
        <v>6127</v>
      </c>
      <c r="C4" s="95" t="s">
        <v>6130</v>
      </c>
      <c r="D4" s="95" t="s">
        <v>6130</v>
      </c>
    </row>
    <row r="5">
      <c r="A5" s="95" t="s">
        <v>7112</v>
      </c>
      <c r="B5" s="95" t="s">
        <v>6130</v>
      </c>
      <c r="C5" s="95" t="s">
        <v>6145</v>
      </c>
      <c r="D5" s="95" t="s">
        <v>6145</v>
      </c>
    </row>
    <row r="6">
      <c r="A6" s="95"/>
      <c r="B6" s="95"/>
      <c r="C6" s="95"/>
      <c r="D6" s="95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0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7113</v>
      </c>
      <c r="B2" s="104" t="s">
        <v>6124</v>
      </c>
      <c r="C2" s="104" t="s">
        <v>6123</v>
      </c>
      <c r="D2" s="104" t="s">
        <v>6123</v>
      </c>
    </row>
    <row r="3">
      <c r="A3" s="108" t="s">
        <v>7114</v>
      </c>
      <c r="B3" s="108" t="s">
        <v>6123</v>
      </c>
      <c r="C3" s="105" t="s">
        <v>6127</v>
      </c>
      <c r="D3" s="105" t="s">
        <v>6127</v>
      </c>
    </row>
    <row r="4">
      <c r="A4" s="95" t="s">
        <v>7115</v>
      </c>
      <c r="B4" s="95" t="s">
        <v>6127</v>
      </c>
      <c r="C4" s="95" t="s">
        <v>6130</v>
      </c>
      <c r="D4" s="95" t="s">
        <v>6130</v>
      </c>
    </row>
    <row r="5">
      <c r="A5" s="95"/>
      <c r="B5" s="95"/>
      <c r="C5" s="95"/>
      <c r="D5" s="95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10.25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7116</v>
      </c>
      <c r="B2" s="104" t="s">
        <v>6124</v>
      </c>
      <c r="C2" s="104" t="s">
        <v>6123</v>
      </c>
      <c r="D2" s="104" t="s">
        <v>6123</v>
      </c>
    </row>
    <row r="3">
      <c r="A3" s="108" t="s">
        <v>7117</v>
      </c>
      <c r="B3" s="108" t="s">
        <v>6123</v>
      </c>
      <c r="C3" s="105" t="s">
        <v>6127</v>
      </c>
      <c r="D3" s="105" t="s">
        <v>6127</v>
      </c>
    </row>
    <row r="4">
      <c r="A4" s="95" t="s">
        <v>7118</v>
      </c>
      <c r="B4" s="95" t="s">
        <v>6127</v>
      </c>
      <c r="C4" s="95" t="s">
        <v>6130</v>
      </c>
      <c r="D4" s="95" t="s">
        <v>6130</v>
      </c>
    </row>
    <row r="5">
      <c r="A5" s="95" t="s">
        <v>7119</v>
      </c>
      <c r="B5" s="95" t="s">
        <v>6130</v>
      </c>
      <c r="C5" s="95" t="s">
        <v>6145</v>
      </c>
      <c r="D5" s="95" t="s">
        <v>6145</v>
      </c>
    </row>
    <row r="6">
      <c r="A6" s="95" t="s">
        <v>7120</v>
      </c>
      <c r="B6" s="95" t="s">
        <v>6145</v>
      </c>
      <c r="C6" s="95" t="s">
        <v>6184</v>
      </c>
      <c r="D6" s="95" t="s">
        <v>6184</v>
      </c>
    </row>
    <row r="7">
      <c r="A7" s="95" t="s">
        <v>7121</v>
      </c>
      <c r="B7" s="95" t="s">
        <v>6184</v>
      </c>
      <c r="C7" s="95" t="s">
        <v>6186</v>
      </c>
      <c r="D7" s="95" t="s">
        <v>6186</v>
      </c>
    </row>
    <row r="8">
      <c r="A8" s="95" t="s">
        <v>7122</v>
      </c>
      <c r="B8" s="95"/>
      <c r="C8" s="95" t="s">
        <v>6188</v>
      </c>
      <c r="D8" s="95" t="s">
        <v>6188</v>
      </c>
    </row>
    <row r="9">
      <c r="A9" s="95"/>
      <c r="B9" s="95"/>
      <c r="C9" s="95"/>
      <c r="D9" s="95"/>
    </row>
    <row r="10">
      <c r="A10" s="95"/>
      <c r="B10" s="95"/>
      <c r="C10" s="95"/>
      <c r="D10" s="95"/>
    </row>
    <row r="11">
      <c r="A11" s="95"/>
      <c r="B11" s="95"/>
      <c r="C11" s="95"/>
      <c r="D11" s="9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6150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6151</v>
      </c>
      <c r="B4" s="95" t="s">
        <v>6130</v>
      </c>
      <c r="C4" s="95" t="s">
        <v>6127</v>
      </c>
      <c r="D4" s="95" t="s">
        <v>6130</v>
      </c>
      <c r="E4" s="95" t="s">
        <v>6130</v>
      </c>
    </row>
    <row r="5">
      <c r="B5" s="95"/>
      <c r="C5" s="95"/>
      <c r="D5" s="95"/>
      <c r="E5" s="95"/>
    </row>
    <row r="6">
      <c r="B6" s="95"/>
      <c r="C6" s="95"/>
      <c r="D6" s="95"/>
      <c r="E6" s="95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13"/>
    <col customWidth="1" min="2" max="2" width="5.13"/>
    <col customWidth="1" min="3" max="3" width="3.75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6656</v>
      </c>
      <c r="B2" s="104" t="s">
        <v>6123</v>
      </c>
      <c r="C2" s="104" t="s">
        <v>6123</v>
      </c>
      <c r="D2" s="104" t="s">
        <v>6123</v>
      </c>
    </row>
    <row r="3">
      <c r="A3" s="108" t="s">
        <v>6169</v>
      </c>
      <c r="B3" s="108" t="s">
        <v>6127</v>
      </c>
      <c r="C3" s="105" t="s">
        <v>6127</v>
      </c>
      <c r="D3" s="105" t="s">
        <v>6127</v>
      </c>
    </row>
    <row r="4">
      <c r="A4" s="95" t="s">
        <v>6170</v>
      </c>
      <c r="B4" s="95" t="s">
        <v>6130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5.13"/>
    <col customWidth="1" min="3" max="3" width="3.75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7123</v>
      </c>
      <c r="B2" s="104" t="s">
        <v>6124</v>
      </c>
      <c r="C2" s="104" t="s">
        <v>6123</v>
      </c>
      <c r="D2" s="104" t="s">
        <v>6123</v>
      </c>
    </row>
    <row r="3">
      <c r="A3" s="108" t="s">
        <v>7124</v>
      </c>
      <c r="B3" s="108" t="s">
        <v>6123</v>
      </c>
      <c r="C3" s="105" t="s">
        <v>6127</v>
      </c>
      <c r="D3" s="105" t="s">
        <v>6127</v>
      </c>
    </row>
    <row r="4">
      <c r="A4" s="95" t="s">
        <v>7125</v>
      </c>
      <c r="B4" s="95" t="s">
        <v>6127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7126</v>
      </c>
      <c r="B2" s="104" t="s">
        <v>6123</v>
      </c>
      <c r="C2" s="104" t="s">
        <v>6123</v>
      </c>
    </row>
    <row r="3">
      <c r="A3" s="108" t="s">
        <v>7127</v>
      </c>
      <c r="B3" s="105" t="s">
        <v>6127</v>
      </c>
      <c r="C3" s="105" t="s">
        <v>6127</v>
      </c>
    </row>
    <row r="4">
      <c r="A4" s="95" t="s">
        <v>7128</v>
      </c>
      <c r="B4" s="95" t="s">
        <v>6130</v>
      </c>
      <c r="C4" s="95" t="s">
        <v>6130</v>
      </c>
    </row>
    <row r="5">
      <c r="A5" s="95" t="s">
        <v>7129</v>
      </c>
      <c r="B5" s="95" t="s">
        <v>6145</v>
      </c>
      <c r="C5" s="95" t="s">
        <v>6145</v>
      </c>
    </row>
    <row r="6">
      <c r="A6" s="95" t="s">
        <v>7130</v>
      </c>
      <c r="B6" s="95" t="s">
        <v>6184</v>
      </c>
      <c r="C6" s="95" t="s">
        <v>6184</v>
      </c>
    </row>
    <row r="7">
      <c r="A7" s="95" t="s">
        <v>7131</v>
      </c>
      <c r="B7" s="95" t="s">
        <v>6186</v>
      </c>
      <c r="C7" s="95" t="s">
        <v>6186</v>
      </c>
    </row>
    <row r="8">
      <c r="A8" s="95" t="s">
        <v>2671</v>
      </c>
      <c r="B8" s="95" t="s">
        <v>6194</v>
      </c>
      <c r="C8" s="95" t="s">
        <v>6194</v>
      </c>
    </row>
    <row r="9">
      <c r="A9" s="95"/>
      <c r="B9" s="95"/>
      <c r="C9" s="95"/>
    </row>
    <row r="10">
      <c r="A10" s="95"/>
      <c r="B10" s="95"/>
      <c r="C10" s="95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7126</v>
      </c>
      <c r="B2" s="104" t="s">
        <v>6123</v>
      </c>
      <c r="C2" s="104" t="s">
        <v>6123</v>
      </c>
    </row>
    <row r="3">
      <c r="A3" s="108" t="s">
        <v>7127</v>
      </c>
      <c r="B3" s="105" t="s">
        <v>6127</v>
      </c>
      <c r="C3" s="105" t="s">
        <v>6127</v>
      </c>
    </row>
    <row r="4">
      <c r="A4" s="95" t="s">
        <v>7128</v>
      </c>
      <c r="B4" s="95" t="s">
        <v>6130</v>
      </c>
      <c r="C4" s="95" t="s">
        <v>6130</v>
      </c>
    </row>
    <row r="5">
      <c r="A5" s="95" t="s">
        <v>7132</v>
      </c>
      <c r="B5" s="95" t="s">
        <v>6145</v>
      </c>
      <c r="C5" s="95" t="s">
        <v>6145</v>
      </c>
    </row>
    <row r="6">
      <c r="A6" s="95" t="s">
        <v>7133</v>
      </c>
      <c r="B6" s="95" t="s">
        <v>6184</v>
      </c>
      <c r="C6" s="95" t="s">
        <v>6184</v>
      </c>
    </row>
    <row r="7">
      <c r="A7" s="95" t="s">
        <v>7134</v>
      </c>
      <c r="B7" s="95" t="s">
        <v>6186</v>
      </c>
      <c r="C7" s="95" t="s">
        <v>6186</v>
      </c>
    </row>
    <row r="8">
      <c r="A8" s="95" t="s">
        <v>2671</v>
      </c>
      <c r="B8" s="95" t="s">
        <v>6194</v>
      </c>
      <c r="C8" s="95" t="s">
        <v>6194</v>
      </c>
    </row>
    <row r="9">
      <c r="A9" s="95"/>
      <c r="B9" s="95"/>
      <c r="C9" s="95"/>
    </row>
    <row r="10">
      <c r="A10" s="95"/>
      <c r="B10" s="95"/>
      <c r="C10" s="95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7135</v>
      </c>
      <c r="B2" s="104" t="s">
        <v>6123</v>
      </c>
      <c r="C2" s="104" t="s">
        <v>6123</v>
      </c>
    </row>
    <row r="3">
      <c r="A3" s="95" t="s">
        <v>7136</v>
      </c>
      <c r="B3" s="95" t="s">
        <v>6130</v>
      </c>
      <c r="C3" s="95" t="s">
        <v>6130</v>
      </c>
    </row>
    <row r="4">
      <c r="A4" s="95" t="s">
        <v>7137</v>
      </c>
      <c r="B4" s="95" t="s">
        <v>6145</v>
      </c>
      <c r="C4" s="95" t="s">
        <v>6145</v>
      </c>
    </row>
    <row r="5">
      <c r="A5" s="95" t="s">
        <v>7138</v>
      </c>
      <c r="B5" s="95" t="s">
        <v>6184</v>
      </c>
      <c r="C5" s="95" t="s">
        <v>6184</v>
      </c>
    </row>
    <row r="6">
      <c r="A6" s="95" t="s">
        <v>7139</v>
      </c>
      <c r="B6" s="95" t="s">
        <v>6186</v>
      </c>
      <c r="C6" s="95" t="s">
        <v>6186</v>
      </c>
    </row>
    <row r="7">
      <c r="A7" s="95"/>
      <c r="B7" s="95"/>
      <c r="C7" s="95"/>
    </row>
    <row r="8">
      <c r="A8" s="95"/>
      <c r="B8" s="95"/>
      <c r="C8" s="95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95" t="s">
        <v>6604</v>
      </c>
      <c r="B2" s="95" t="s">
        <v>6124</v>
      </c>
      <c r="C2" s="95" t="s">
        <v>6659</v>
      </c>
      <c r="D2" s="95" t="s">
        <v>6659</v>
      </c>
    </row>
    <row r="3">
      <c r="A3" s="95" t="s">
        <v>6656</v>
      </c>
      <c r="B3" s="95" t="s">
        <v>6123</v>
      </c>
      <c r="C3" s="95" t="s">
        <v>6663</v>
      </c>
      <c r="D3" s="95" t="s">
        <v>6663</v>
      </c>
    </row>
    <row r="4">
      <c r="A4" s="95" t="s">
        <v>6169</v>
      </c>
      <c r="B4" s="95" t="s">
        <v>6127</v>
      </c>
      <c r="C4" s="95" t="s">
        <v>6667</v>
      </c>
      <c r="D4" s="95" t="s">
        <v>6667</v>
      </c>
    </row>
    <row r="5">
      <c r="A5" s="116" t="s">
        <v>6170</v>
      </c>
      <c r="B5" s="104" t="s">
        <v>6130</v>
      </c>
      <c r="C5" s="104" t="s">
        <v>6669</v>
      </c>
      <c r="D5" s="104" t="s">
        <v>6669</v>
      </c>
    </row>
    <row r="6">
      <c r="A6" s="95" t="s">
        <v>6603</v>
      </c>
      <c r="B6" s="95" t="s">
        <v>6145</v>
      </c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38"/>
    <col customWidth="1" min="2" max="2" width="3.75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7140</v>
      </c>
      <c r="B2" s="104" t="s">
        <v>6123</v>
      </c>
      <c r="C2" s="104" t="s">
        <v>6123</v>
      </c>
    </row>
    <row r="3">
      <c r="A3" s="95" t="s">
        <v>7141</v>
      </c>
      <c r="B3" s="95" t="s">
        <v>6127</v>
      </c>
      <c r="C3" s="95" t="s">
        <v>6127</v>
      </c>
    </row>
    <row r="4">
      <c r="A4" s="95" t="s">
        <v>7142</v>
      </c>
      <c r="B4" s="95" t="s">
        <v>6130</v>
      </c>
      <c r="C4" s="95" t="s">
        <v>6130</v>
      </c>
    </row>
    <row r="5">
      <c r="A5" s="95" t="s">
        <v>7143</v>
      </c>
      <c r="B5" s="95" t="s">
        <v>6145</v>
      </c>
      <c r="C5" s="95" t="s">
        <v>6145</v>
      </c>
    </row>
    <row r="6">
      <c r="A6" s="95" t="s">
        <v>7144</v>
      </c>
      <c r="B6" s="95" t="s">
        <v>6184</v>
      </c>
      <c r="C6" s="95" t="s">
        <v>6184</v>
      </c>
    </row>
    <row r="7">
      <c r="A7" s="95" t="s">
        <v>7145</v>
      </c>
      <c r="B7" s="95" t="s">
        <v>6186</v>
      </c>
      <c r="C7" s="95" t="s">
        <v>6186</v>
      </c>
    </row>
    <row r="8">
      <c r="A8" s="95"/>
      <c r="B8" s="95"/>
      <c r="C8" s="95"/>
    </row>
    <row r="9">
      <c r="A9" s="95"/>
      <c r="B9" s="95"/>
      <c r="C9" s="95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3" width="3.75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7125</v>
      </c>
      <c r="B2" s="104" t="s">
        <v>6145</v>
      </c>
      <c r="C2" s="104" t="s">
        <v>6123</v>
      </c>
      <c r="D2" s="104" t="s">
        <v>6123</v>
      </c>
    </row>
    <row r="3">
      <c r="A3" s="95" t="s">
        <v>7124</v>
      </c>
      <c r="B3" s="95" t="s">
        <v>6130</v>
      </c>
      <c r="C3" s="95" t="s">
        <v>6127</v>
      </c>
      <c r="D3" s="95" t="s">
        <v>6127</v>
      </c>
    </row>
    <row r="4">
      <c r="A4" s="95" t="s">
        <v>7123</v>
      </c>
      <c r="B4" s="95" t="s">
        <v>6127</v>
      </c>
      <c r="C4" s="95" t="s">
        <v>6130</v>
      </c>
      <c r="D4" s="95" t="s">
        <v>6130</v>
      </c>
    </row>
    <row r="5">
      <c r="A5" s="95" t="s">
        <v>7146</v>
      </c>
      <c r="B5" s="95" t="s">
        <v>6123</v>
      </c>
      <c r="C5" s="95" t="s">
        <v>6145</v>
      </c>
      <c r="D5" s="95" t="s">
        <v>6145</v>
      </c>
    </row>
    <row r="6">
      <c r="A6" s="95" t="s">
        <v>7147</v>
      </c>
      <c r="B6" s="95" t="s">
        <v>6124</v>
      </c>
      <c r="C6" s="95" t="s">
        <v>6184</v>
      </c>
      <c r="D6" s="95" t="s">
        <v>6184</v>
      </c>
    </row>
    <row r="7">
      <c r="A7" s="95"/>
      <c r="B7" s="95"/>
      <c r="C7" s="95"/>
      <c r="D7" s="95"/>
    </row>
    <row r="8">
      <c r="A8" s="95"/>
      <c r="B8" s="95"/>
      <c r="C8" s="95"/>
      <c r="D8" s="95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2" width="5.13"/>
    <col customWidth="1" min="3" max="3" width="3.75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8" t="s">
        <v>6869</v>
      </c>
      <c r="B2" s="104" t="s">
        <v>6123</v>
      </c>
      <c r="C2" s="104" t="s">
        <v>6123</v>
      </c>
      <c r="D2" s="104" t="s">
        <v>6123</v>
      </c>
    </row>
    <row r="3">
      <c r="A3" s="95" t="s">
        <v>6863</v>
      </c>
      <c r="B3" s="95" t="s">
        <v>6124</v>
      </c>
      <c r="C3" s="95" t="s">
        <v>6127</v>
      </c>
      <c r="D3" s="95" t="s">
        <v>6127</v>
      </c>
    </row>
    <row r="4">
      <c r="A4" s="95" t="s">
        <v>6178</v>
      </c>
      <c r="B4" s="95"/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5.13"/>
    <col customWidth="1" min="3" max="3" width="3.75"/>
    <col customWidth="1" min="4" max="4" width="15.2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7148</v>
      </c>
      <c r="B2" s="104" t="s">
        <v>6127</v>
      </c>
      <c r="C2" s="104"/>
      <c r="D2" s="116" t="s">
        <v>7148</v>
      </c>
    </row>
    <row r="3">
      <c r="A3" s="95" t="s">
        <v>7149</v>
      </c>
      <c r="B3" s="95" t="s">
        <v>6123</v>
      </c>
      <c r="C3" s="95"/>
      <c r="D3" s="95" t="s">
        <v>7149</v>
      </c>
    </row>
    <row r="4">
      <c r="A4" s="110" t="s">
        <v>7150</v>
      </c>
      <c r="B4" s="95" t="s">
        <v>6124</v>
      </c>
      <c r="C4" s="95"/>
      <c r="D4" s="110" t="s">
        <v>7150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6152</v>
      </c>
      <c r="B2" s="95" t="s">
        <v>6123</v>
      </c>
      <c r="C2" s="95" t="s">
        <v>6123</v>
      </c>
    </row>
    <row r="3">
      <c r="A3" s="78" t="s">
        <v>6153</v>
      </c>
      <c r="B3" s="95" t="s">
        <v>6127</v>
      </c>
      <c r="C3" s="95" t="s">
        <v>6127</v>
      </c>
    </row>
    <row r="4">
      <c r="A4" s="78" t="s">
        <v>6154</v>
      </c>
      <c r="B4" s="95"/>
      <c r="C4" s="95" t="s">
        <v>6130</v>
      </c>
    </row>
    <row r="5">
      <c r="B5" s="96"/>
    </row>
    <row r="6">
      <c r="B6" s="96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3" width="3.75"/>
    <col customWidth="1" min="4" max="4" width="14.2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6196</v>
      </c>
      <c r="B2" s="104" t="s">
        <v>6123</v>
      </c>
      <c r="C2" s="104" t="s">
        <v>6123</v>
      </c>
      <c r="D2" s="104" t="s">
        <v>7151</v>
      </c>
    </row>
    <row r="3">
      <c r="A3" s="95" t="s">
        <v>6197</v>
      </c>
      <c r="B3" s="95" t="s">
        <v>6127</v>
      </c>
      <c r="C3" s="95" t="s">
        <v>6127</v>
      </c>
      <c r="D3" s="95" t="s">
        <v>7152</v>
      </c>
    </row>
    <row r="4">
      <c r="A4" s="95" t="s">
        <v>2671</v>
      </c>
      <c r="B4" s="95" t="s">
        <v>6188</v>
      </c>
      <c r="C4" s="95" t="s">
        <v>6130</v>
      </c>
      <c r="D4" s="95" t="s">
        <v>6305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95" t="s">
        <v>7153</v>
      </c>
      <c r="B2" s="95" t="s">
        <v>6123</v>
      </c>
      <c r="C2" s="95"/>
      <c r="D2" s="95" t="s">
        <v>6123</v>
      </c>
    </row>
    <row r="3">
      <c r="A3" s="95" t="s">
        <v>7154</v>
      </c>
      <c r="B3" s="95" t="s">
        <v>6127</v>
      </c>
      <c r="C3" s="95"/>
      <c r="D3" s="95" t="s">
        <v>6127</v>
      </c>
    </row>
    <row r="4">
      <c r="A4" s="95"/>
      <c r="B4" s="95"/>
      <c r="C4" s="95"/>
      <c r="D4" s="95"/>
    </row>
    <row r="5">
      <c r="A5" s="116"/>
      <c r="B5" s="104"/>
      <c r="C5" s="104"/>
      <c r="D5" s="104"/>
    </row>
    <row r="6">
      <c r="A6" s="95"/>
      <c r="B6" s="95"/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0"/>
    <col customWidth="1" min="2" max="2" width="10.88"/>
    <col customWidth="1" min="3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9" t="s">
        <v>7155</v>
      </c>
      <c r="B2" s="104" t="s">
        <v>7156</v>
      </c>
      <c r="C2" s="104" t="s">
        <v>7156</v>
      </c>
      <c r="D2" s="98" t="s">
        <v>7156</v>
      </c>
    </row>
    <row r="3">
      <c r="A3" s="95" t="s">
        <v>7157</v>
      </c>
      <c r="B3" s="95" t="s">
        <v>7158</v>
      </c>
      <c r="C3" s="95" t="s">
        <v>7158</v>
      </c>
      <c r="D3" s="120" t="s">
        <v>7158</v>
      </c>
    </row>
    <row r="4">
      <c r="A4" s="95" t="s">
        <v>7159</v>
      </c>
      <c r="B4" s="95" t="s">
        <v>6124</v>
      </c>
      <c r="C4" s="95" t="s">
        <v>6124</v>
      </c>
      <c r="D4" s="120" t="s">
        <v>6124</v>
      </c>
    </row>
    <row r="5">
      <c r="A5" s="95" t="s">
        <v>7160</v>
      </c>
      <c r="B5" s="95" t="s">
        <v>6123</v>
      </c>
      <c r="C5" s="95" t="s">
        <v>6123</v>
      </c>
      <c r="D5" s="120" t="s">
        <v>6123</v>
      </c>
    </row>
    <row r="6">
      <c r="A6" s="95"/>
      <c r="B6" s="95"/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9" t="s">
        <v>7161</v>
      </c>
      <c r="B2" s="104" t="s">
        <v>6124</v>
      </c>
      <c r="C2" s="104" t="s">
        <v>6124</v>
      </c>
      <c r="D2" s="104" t="s">
        <v>7161</v>
      </c>
    </row>
    <row r="3">
      <c r="A3" s="95" t="s">
        <v>7162</v>
      </c>
      <c r="B3" s="95" t="s">
        <v>6127</v>
      </c>
      <c r="C3" s="95" t="s">
        <v>6123</v>
      </c>
      <c r="D3" s="95" t="s">
        <v>7162</v>
      </c>
    </row>
    <row r="4">
      <c r="A4" s="95"/>
      <c r="B4" s="95"/>
      <c r="C4" s="95"/>
      <c r="D4" s="95"/>
    </row>
    <row r="5">
      <c r="A5" s="95"/>
      <c r="B5" s="95"/>
      <c r="C5" s="95"/>
      <c r="D5" s="95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9" t="s">
        <v>6604</v>
      </c>
      <c r="B2" s="104" t="s">
        <v>6124</v>
      </c>
      <c r="C2" s="104"/>
      <c r="D2" s="104" t="s">
        <v>6123</v>
      </c>
    </row>
    <row r="3">
      <c r="A3" s="95" t="s">
        <v>6604</v>
      </c>
      <c r="B3" s="95" t="s">
        <v>6124</v>
      </c>
      <c r="C3" s="95"/>
      <c r="D3" s="78" t="s">
        <v>6661</v>
      </c>
    </row>
    <row r="4">
      <c r="A4" s="95" t="s">
        <v>7070</v>
      </c>
      <c r="B4" s="95" t="s">
        <v>6123</v>
      </c>
      <c r="C4" s="95"/>
      <c r="D4" s="95" t="s">
        <v>6127</v>
      </c>
    </row>
    <row r="5">
      <c r="A5" s="95" t="s">
        <v>7070</v>
      </c>
      <c r="B5" s="95" t="s">
        <v>6123</v>
      </c>
      <c r="C5" s="95"/>
      <c r="D5" s="78" t="s">
        <v>7163</v>
      </c>
    </row>
    <row r="6">
      <c r="A6" s="95" t="s">
        <v>7164</v>
      </c>
      <c r="B6" s="95" t="s">
        <v>6175</v>
      </c>
      <c r="C6" s="95"/>
      <c r="D6" s="95" t="s">
        <v>6130</v>
      </c>
    </row>
    <row r="7">
      <c r="A7" s="95" t="s">
        <v>7164</v>
      </c>
      <c r="B7" s="95" t="s">
        <v>6175</v>
      </c>
      <c r="C7" s="95"/>
      <c r="D7" s="78" t="s">
        <v>7165</v>
      </c>
    </row>
    <row r="8">
      <c r="A8" s="95"/>
      <c r="B8" s="95"/>
      <c r="C8" s="95"/>
      <c r="D8" s="95"/>
    </row>
    <row r="9">
      <c r="A9" s="95"/>
      <c r="B9" s="95"/>
      <c r="C9" s="95"/>
      <c r="D9" s="95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5.13"/>
    <col customWidth="1" min="3" max="4" width="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1" t="s">
        <v>6124</v>
      </c>
      <c r="B2" s="104" t="s">
        <v>6124</v>
      </c>
      <c r="C2" s="104"/>
      <c r="D2" s="111" t="s">
        <v>7166</v>
      </c>
    </row>
    <row r="3">
      <c r="A3" s="95" t="s">
        <v>6682</v>
      </c>
      <c r="B3" s="95" t="s">
        <v>6123</v>
      </c>
      <c r="C3" s="95"/>
      <c r="D3" s="95" t="s">
        <v>6682</v>
      </c>
    </row>
    <row r="4">
      <c r="A4" s="95" t="s">
        <v>6686</v>
      </c>
      <c r="B4" s="95" t="s">
        <v>6687</v>
      </c>
      <c r="C4" s="95"/>
      <c r="D4" s="111" t="s">
        <v>6686</v>
      </c>
    </row>
    <row r="5">
      <c r="A5" s="95" t="s">
        <v>7167</v>
      </c>
      <c r="B5" s="95" t="s">
        <v>6127</v>
      </c>
      <c r="C5" s="95"/>
      <c r="D5" s="95" t="s">
        <v>7167</v>
      </c>
    </row>
    <row r="6">
      <c r="A6" s="95" t="s">
        <v>7168</v>
      </c>
      <c r="B6" s="95" t="s">
        <v>6127</v>
      </c>
      <c r="C6" s="95"/>
      <c r="D6" s="95" t="s">
        <v>7168</v>
      </c>
    </row>
    <row r="7">
      <c r="A7" s="95" t="s">
        <v>6130</v>
      </c>
      <c r="B7" s="95" t="s">
        <v>6130</v>
      </c>
      <c r="C7" s="95"/>
      <c r="D7" s="111" t="s">
        <v>7169</v>
      </c>
    </row>
    <row r="8">
      <c r="A8" s="95"/>
      <c r="B8" s="95"/>
      <c r="C8" s="95"/>
      <c r="D8" s="95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5.13"/>
    <col customWidth="1" min="3" max="3" width="8.0"/>
    <col customWidth="1" min="4" max="4" width="14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21" t="s">
        <v>7153</v>
      </c>
      <c r="B2" s="104" t="s">
        <v>6124</v>
      </c>
      <c r="C2" s="104"/>
      <c r="D2" s="110" t="s">
        <v>7170</v>
      </c>
    </row>
    <row r="3">
      <c r="A3" s="110" t="s">
        <v>6603</v>
      </c>
      <c r="B3" s="95" t="s">
        <v>6123</v>
      </c>
      <c r="C3" s="95"/>
      <c r="D3" s="110" t="s">
        <v>7171</v>
      </c>
    </row>
    <row r="4">
      <c r="A4" s="95"/>
      <c r="B4" s="95"/>
      <c r="C4" s="95"/>
      <c r="D4" s="95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8.0"/>
    <col customWidth="1" min="3" max="3" width="14.38"/>
  </cols>
  <sheetData>
    <row r="1">
      <c r="A1" s="95" t="s">
        <v>6119</v>
      </c>
      <c r="B1" s="95" t="s">
        <v>11</v>
      </c>
      <c r="C1" s="95" t="s">
        <v>12</v>
      </c>
    </row>
    <row r="2">
      <c r="A2" s="110" t="s">
        <v>7172</v>
      </c>
      <c r="B2" s="95"/>
      <c r="C2" s="110" t="s">
        <v>7173</v>
      </c>
    </row>
    <row r="3">
      <c r="A3" s="95" t="s">
        <v>7174</v>
      </c>
      <c r="B3" s="95"/>
      <c r="C3" s="111" t="s">
        <v>7175</v>
      </c>
    </row>
    <row r="4">
      <c r="A4" s="95"/>
      <c r="B4" s="95"/>
      <c r="C4" s="9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</cols>
  <sheetData>
    <row r="1">
      <c r="A1" s="78" t="s">
        <v>6119</v>
      </c>
      <c r="B1" s="95" t="s">
        <v>11</v>
      </c>
      <c r="C1" s="95" t="s">
        <v>12</v>
      </c>
    </row>
    <row r="2">
      <c r="A2" s="78" t="s">
        <v>6155</v>
      </c>
      <c r="B2" s="95" t="s">
        <v>6124</v>
      </c>
      <c r="C2" s="95"/>
    </row>
    <row r="3">
      <c r="A3" s="78" t="s">
        <v>6156</v>
      </c>
      <c r="B3" s="95" t="s">
        <v>6123</v>
      </c>
      <c r="C3" s="95" t="s">
        <v>6123</v>
      </c>
    </row>
    <row r="4">
      <c r="A4" s="78" t="s">
        <v>6157</v>
      </c>
      <c r="B4" s="95" t="s">
        <v>6127</v>
      </c>
      <c r="C4" s="95" t="s">
        <v>6127</v>
      </c>
    </row>
    <row r="5">
      <c r="A5" s="78" t="s">
        <v>6158</v>
      </c>
      <c r="B5" s="95" t="s">
        <v>6130</v>
      </c>
      <c r="C5" s="95" t="s">
        <v>6130</v>
      </c>
    </row>
    <row r="6">
      <c r="A6" s="78" t="s">
        <v>6159</v>
      </c>
      <c r="B6" s="95" t="s">
        <v>6145</v>
      </c>
      <c r="C6" s="95" t="s">
        <v>6145</v>
      </c>
    </row>
    <row r="7">
      <c r="B7" s="96"/>
      <c r="C7" s="96"/>
    </row>
    <row r="8">
      <c r="B8" s="96"/>
      <c r="C8" s="9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203</v>
      </c>
      <c r="B2" s="95" t="s">
        <v>6123</v>
      </c>
      <c r="C2" s="95"/>
    </row>
    <row r="3">
      <c r="A3" s="78" t="s">
        <v>6160</v>
      </c>
      <c r="B3" s="95" t="s">
        <v>6127</v>
      </c>
      <c r="C3" s="95"/>
    </row>
    <row r="4">
      <c r="A4" s="97" t="s">
        <v>6161</v>
      </c>
      <c r="B4" s="95"/>
      <c r="C4" s="98" t="s">
        <v>6123</v>
      </c>
    </row>
    <row r="5">
      <c r="A5" s="99" t="s">
        <v>6162</v>
      </c>
      <c r="B5" s="95"/>
      <c r="C5" s="100" t="s">
        <v>6127</v>
      </c>
    </row>
    <row r="6">
      <c r="A6" s="99" t="s">
        <v>6163</v>
      </c>
      <c r="B6" s="95"/>
      <c r="C6" s="100" t="s">
        <v>6130</v>
      </c>
    </row>
    <row r="7">
      <c r="A7" s="99" t="s">
        <v>6164</v>
      </c>
      <c r="B7" s="95"/>
      <c r="C7" s="100" t="s">
        <v>6145</v>
      </c>
    </row>
    <row r="8">
      <c r="A8" s="101"/>
      <c r="B8" s="95"/>
      <c r="C8" s="9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6165</v>
      </c>
      <c r="B2" s="95"/>
      <c r="C2" s="95" t="s">
        <v>6123</v>
      </c>
    </row>
    <row r="3">
      <c r="A3" s="78" t="s">
        <v>6166</v>
      </c>
      <c r="B3" s="95"/>
      <c r="C3" s="95" t="s">
        <v>6127</v>
      </c>
    </row>
    <row r="4">
      <c r="B4" s="95"/>
      <c r="C4" s="95"/>
    </row>
    <row r="5">
      <c r="B5" s="95"/>
      <c r="C5" s="95"/>
    </row>
    <row r="6">
      <c r="B6" s="95"/>
      <c r="C6" s="9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6167</v>
      </c>
      <c r="B2" s="95" t="s">
        <v>6127</v>
      </c>
      <c r="C2" s="95"/>
      <c r="D2" s="95" t="s">
        <v>6127</v>
      </c>
    </row>
    <row r="3">
      <c r="A3" s="78" t="s">
        <v>6168</v>
      </c>
      <c r="B3" s="95" t="s">
        <v>6130</v>
      </c>
      <c r="C3" s="95"/>
      <c r="D3" s="95" t="s">
        <v>6130</v>
      </c>
    </row>
    <row r="4">
      <c r="B4" s="95"/>
      <c r="C4" s="95"/>
      <c r="D4" s="95"/>
    </row>
    <row r="5">
      <c r="B5" s="95"/>
      <c r="C5" s="95"/>
      <c r="D5" s="9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6169</v>
      </c>
      <c r="B2" s="95" t="s">
        <v>6123</v>
      </c>
      <c r="C2" s="95" t="s">
        <v>6123</v>
      </c>
      <c r="D2" s="95" t="s">
        <v>6123</v>
      </c>
    </row>
    <row r="3">
      <c r="A3" s="78" t="s">
        <v>6170</v>
      </c>
      <c r="B3" s="95" t="s">
        <v>6127</v>
      </c>
      <c r="C3" s="95" t="s">
        <v>6127</v>
      </c>
      <c r="D3" s="95" t="s">
        <v>6127</v>
      </c>
    </row>
    <row r="4">
      <c r="B4" s="95"/>
      <c r="C4" s="95"/>
      <c r="D4" s="95"/>
    </row>
    <row r="5">
      <c r="B5" s="96"/>
      <c r="C5" s="9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6171</v>
      </c>
      <c r="B2" s="95" t="s">
        <v>6123</v>
      </c>
      <c r="C2" s="95" t="s">
        <v>6123</v>
      </c>
      <c r="D2" s="95" t="s">
        <v>6123</v>
      </c>
    </row>
    <row r="3">
      <c r="A3" s="78" t="s">
        <v>6172</v>
      </c>
      <c r="B3" s="95" t="s">
        <v>6127</v>
      </c>
      <c r="C3" s="95" t="s">
        <v>6127</v>
      </c>
      <c r="D3" s="95" t="s">
        <v>6127</v>
      </c>
    </row>
    <row r="4">
      <c r="B4" s="95"/>
      <c r="C4" s="95"/>
      <c r="D4" s="95"/>
    </row>
    <row r="5">
      <c r="B5" s="96"/>
      <c r="C5" s="9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535</v>
      </c>
      <c r="B2" s="95" t="s">
        <v>6124</v>
      </c>
      <c r="C2" s="95" t="s">
        <v>6123</v>
      </c>
      <c r="D2" s="95" t="s">
        <v>6123</v>
      </c>
    </row>
    <row r="3">
      <c r="A3" s="78" t="s">
        <v>6173</v>
      </c>
      <c r="B3" s="95" t="s">
        <v>6123</v>
      </c>
      <c r="C3" s="95" t="s">
        <v>6127</v>
      </c>
      <c r="D3" s="95" t="s">
        <v>6127</v>
      </c>
    </row>
    <row r="4">
      <c r="A4" s="78" t="s">
        <v>6174</v>
      </c>
      <c r="B4" s="95" t="s">
        <v>6175</v>
      </c>
      <c r="C4" s="95" t="s">
        <v>6130</v>
      </c>
      <c r="D4" s="95" t="s">
        <v>6130</v>
      </c>
    </row>
    <row r="5">
      <c r="B5" s="96"/>
      <c r="C5" s="9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16.5"/>
    <col customWidth="1" min="3" max="3" width="67.63"/>
    <col customWidth="1" min="4" max="4" width="44.5"/>
    <col customWidth="1" min="5" max="5" width="52.75"/>
    <col customWidth="1" min="6" max="6" width="30.5"/>
    <col customWidth="1" min="7" max="7" width="70.5"/>
  </cols>
  <sheetData>
    <row r="1">
      <c r="A1" s="78" t="s">
        <v>6086</v>
      </c>
      <c r="B1" s="78" t="s">
        <v>6087</v>
      </c>
      <c r="C1" s="78" t="s">
        <v>6088</v>
      </c>
      <c r="D1" s="78" t="s">
        <v>6089</v>
      </c>
      <c r="E1" s="78" t="s">
        <v>6090</v>
      </c>
      <c r="F1" s="78" t="s">
        <v>6091</v>
      </c>
      <c r="G1" s="79" t="s">
        <v>7</v>
      </c>
    </row>
    <row r="2">
      <c r="A2" s="78">
        <v>1.0</v>
      </c>
      <c r="C2" s="78" t="s">
        <v>6092</v>
      </c>
      <c r="G2" s="80"/>
    </row>
    <row r="3">
      <c r="A3" s="78">
        <f>A2+1</f>
        <v>2</v>
      </c>
      <c r="B3" s="78" t="s">
        <v>6093</v>
      </c>
      <c r="C3" s="81"/>
      <c r="D3" s="82" t="s">
        <v>6094</v>
      </c>
      <c r="E3" s="82" t="s">
        <v>1322</v>
      </c>
      <c r="F3" s="78" t="s">
        <v>6095</v>
      </c>
      <c r="G3" s="79" t="s">
        <v>6096</v>
      </c>
    </row>
    <row r="4">
      <c r="B4" s="78" t="s">
        <v>6097</v>
      </c>
      <c r="C4" s="78"/>
      <c r="D4" s="83" t="s">
        <v>6098</v>
      </c>
      <c r="E4" s="84"/>
      <c r="F4" s="85"/>
      <c r="G4" s="86"/>
    </row>
    <row r="5">
      <c r="B5" s="78"/>
      <c r="C5" s="78"/>
      <c r="D5" s="84"/>
      <c r="E5" s="84"/>
      <c r="F5" s="85"/>
      <c r="G5" s="86"/>
    </row>
    <row r="6">
      <c r="A6" s="87">
        <f>A3+1</f>
        <v>3</v>
      </c>
      <c r="B6" s="88" t="s">
        <v>6099</v>
      </c>
      <c r="C6" s="88" t="s">
        <v>6100</v>
      </c>
      <c r="D6" s="89"/>
      <c r="E6" s="90" t="s">
        <v>86</v>
      </c>
      <c r="F6" s="91" t="s">
        <v>6101</v>
      </c>
      <c r="G6" s="89"/>
    </row>
    <row r="7">
      <c r="A7" s="87">
        <f t="shared" ref="A7:A23" si="1">A6+1</f>
        <v>4</v>
      </c>
      <c r="B7" s="12" t="s">
        <v>6102</v>
      </c>
      <c r="C7" s="88" t="s">
        <v>6103</v>
      </c>
      <c r="D7" s="89"/>
      <c r="E7" s="89" t="s">
        <v>44</v>
      </c>
      <c r="F7" s="91" t="s">
        <v>6104</v>
      </c>
      <c r="G7" s="12"/>
    </row>
    <row r="8">
      <c r="A8" s="87">
        <f t="shared" si="1"/>
        <v>5</v>
      </c>
      <c r="B8" s="88"/>
      <c r="C8" s="88"/>
      <c r="D8" s="12"/>
      <c r="E8" s="12"/>
      <c r="F8" s="12"/>
      <c r="G8" s="12"/>
    </row>
    <row r="9">
      <c r="A9" s="87">
        <f t="shared" si="1"/>
        <v>6</v>
      </c>
      <c r="B9" s="88" t="s">
        <v>6105</v>
      </c>
      <c r="C9" s="92" t="s">
        <v>6106</v>
      </c>
      <c r="D9" s="93" t="s">
        <v>6107</v>
      </c>
      <c r="E9" s="12"/>
      <c r="F9" s="12"/>
      <c r="G9" s="12"/>
    </row>
    <row r="10">
      <c r="A10" s="87">
        <f t="shared" si="1"/>
        <v>7</v>
      </c>
      <c r="B10" s="88" t="s">
        <v>6108</v>
      </c>
      <c r="C10" s="92" t="s">
        <v>6109</v>
      </c>
      <c r="D10" s="93" t="s">
        <v>6109</v>
      </c>
      <c r="E10" s="12"/>
      <c r="F10" s="12"/>
      <c r="G10" s="12"/>
    </row>
    <row r="11">
      <c r="A11" s="87">
        <f t="shared" si="1"/>
        <v>8</v>
      </c>
      <c r="B11" s="88" t="s">
        <v>6110</v>
      </c>
      <c r="C11" s="92" t="s">
        <v>6111</v>
      </c>
      <c r="D11" s="93" t="s">
        <v>6111</v>
      </c>
      <c r="E11" s="12"/>
      <c r="F11" s="12"/>
      <c r="G11" s="94" t="s">
        <v>6112</v>
      </c>
    </row>
    <row r="12">
      <c r="A12" s="87">
        <f t="shared" si="1"/>
        <v>9</v>
      </c>
      <c r="B12" s="88" t="s">
        <v>6113</v>
      </c>
      <c r="C12" s="88" t="s">
        <v>6114</v>
      </c>
      <c r="D12" s="12"/>
      <c r="E12" s="12"/>
      <c r="F12" s="12"/>
      <c r="G12" s="12"/>
    </row>
    <row r="13">
      <c r="A13" s="87">
        <f t="shared" si="1"/>
        <v>10</v>
      </c>
      <c r="B13" s="88" t="s">
        <v>6115</v>
      </c>
      <c r="C13" s="88" t="s">
        <v>6116</v>
      </c>
      <c r="D13" s="12"/>
      <c r="E13" s="12"/>
      <c r="F13" s="12"/>
      <c r="G13" s="12"/>
    </row>
    <row r="14">
      <c r="A14" s="87">
        <f t="shared" si="1"/>
        <v>11</v>
      </c>
      <c r="B14" s="88" t="s">
        <v>6117</v>
      </c>
      <c r="C14" s="88" t="s">
        <v>6118</v>
      </c>
      <c r="D14" s="12"/>
      <c r="E14" s="12"/>
      <c r="F14" s="12"/>
      <c r="G14" s="12"/>
    </row>
    <row r="15">
      <c r="A15" s="87">
        <f t="shared" si="1"/>
        <v>12</v>
      </c>
      <c r="B15" s="12"/>
      <c r="C15" s="12"/>
      <c r="D15" s="12"/>
      <c r="E15" s="12"/>
      <c r="F15" s="12"/>
      <c r="G15" s="12"/>
    </row>
    <row r="16">
      <c r="A16" s="87">
        <f t="shared" si="1"/>
        <v>13</v>
      </c>
      <c r="B16" s="12"/>
      <c r="C16" s="12"/>
      <c r="D16" s="12"/>
      <c r="E16" s="12"/>
      <c r="F16" s="12"/>
      <c r="G16" s="12"/>
    </row>
    <row r="17">
      <c r="A17" s="87">
        <f t="shared" si="1"/>
        <v>14</v>
      </c>
      <c r="B17" s="12"/>
      <c r="C17" s="12"/>
      <c r="D17" s="12"/>
      <c r="E17" s="12"/>
      <c r="F17" s="12"/>
      <c r="G17" s="12"/>
    </row>
    <row r="18">
      <c r="A18" s="87">
        <f t="shared" si="1"/>
        <v>15</v>
      </c>
      <c r="B18" s="12"/>
      <c r="C18" s="12"/>
      <c r="D18" s="12"/>
      <c r="E18" s="12"/>
      <c r="F18" s="12"/>
      <c r="G18" s="12"/>
    </row>
    <row r="19">
      <c r="A19" s="87">
        <f t="shared" si="1"/>
        <v>16</v>
      </c>
      <c r="B19" s="12"/>
      <c r="C19" s="12"/>
      <c r="D19" s="12"/>
      <c r="E19" s="12"/>
      <c r="F19" s="12"/>
      <c r="G19" s="12"/>
    </row>
    <row r="20">
      <c r="A20" s="87">
        <f t="shared" si="1"/>
        <v>17</v>
      </c>
      <c r="B20" s="12"/>
      <c r="C20" s="12"/>
      <c r="D20" s="12"/>
      <c r="E20" s="12"/>
      <c r="F20" s="12"/>
      <c r="G20" s="12"/>
    </row>
    <row r="21">
      <c r="A21" s="87">
        <f t="shared" si="1"/>
        <v>18</v>
      </c>
      <c r="B21" s="12"/>
      <c r="C21" s="12"/>
      <c r="D21" s="12"/>
      <c r="E21" s="12"/>
      <c r="F21" s="12"/>
      <c r="G21" s="12"/>
    </row>
    <row r="22">
      <c r="A22" s="87">
        <f t="shared" si="1"/>
        <v>19</v>
      </c>
      <c r="B22" s="12"/>
      <c r="C22" s="12"/>
      <c r="D22" s="12"/>
      <c r="E22" s="12"/>
      <c r="F22" s="12"/>
      <c r="G22" s="12"/>
    </row>
    <row r="23">
      <c r="A23" s="87">
        <f t="shared" si="1"/>
        <v>20</v>
      </c>
      <c r="B23" s="12"/>
      <c r="C23" s="12"/>
      <c r="D23" s="12"/>
      <c r="E23" s="12"/>
      <c r="F23" s="12"/>
      <c r="G23" s="12"/>
    </row>
    <row r="24">
      <c r="G24" s="80"/>
    </row>
    <row r="25">
      <c r="G25" s="80"/>
    </row>
    <row r="26">
      <c r="G26" s="80"/>
    </row>
    <row r="27">
      <c r="G27" s="80"/>
    </row>
    <row r="28">
      <c r="G28" s="80"/>
    </row>
    <row r="29">
      <c r="G29" s="80"/>
    </row>
    <row r="30">
      <c r="G30" s="80"/>
    </row>
    <row r="31">
      <c r="G31" s="80"/>
    </row>
    <row r="32">
      <c r="G32" s="80"/>
    </row>
    <row r="33">
      <c r="G33" s="80"/>
    </row>
    <row r="34">
      <c r="G34" s="80"/>
    </row>
    <row r="35">
      <c r="G35" s="80"/>
    </row>
    <row r="36">
      <c r="G36" s="80"/>
    </row>
    <row r="37">
      <c r="G37" s="80"/>
    </row>
    <row r="38">
      <c r="G38" s="80"/>
    </row>
    <row r="39">
      <c r="G39" s="80"/>
    </row>
    <row r="40">
      <c r="G40" s="80"/>
    </row>
    <row r="41">
      <c r="G41" s="80"/>
    </row>
    <row r="42">
      <c r="G42" s="80"/>
    </row>
    <row r="43">
      <c r="G43" s="80"/>
    </row>
    <row r="44">
      <c r="G44" s="80"/>
    </row>
    <row r="45">
      <c r="G45" s="80"/>
    </row>
    <row r="46">
      <c r="G46" s="80"/>
    </row>
    <row r="47">
      <c r="G47" s="80"/>
    </row>
    <row r="48">
      <c r="G48" s="80"/>
    </row>
    <row r="49">
      <c r="G49" s="80"/>
    </row>
    <row r="50">
      <c r="G50" s="80"/>
    </row>
    <row r="51">
      <c r="G51" s="80"/>
    </row>
    <row r="52">
      <c r="G52" s="80"/>
    </row>
    <row r="53">
      <c r="G53" s="80"/>
    </row>
    <row r="54">
      <c r="G54" s="80"/>
    </row>
    <row r="55">
      <c r="G55" s="80"/>
    </row>
    <row r="56">
      <c r="G56" s="80"/>
    </row>
    <row r="57">
      <c r="G57" s="80"/>
    </row>
    <row r="58">
      <c r="G58" s="80"/>
    </row>
    <row r="59">
      <c r="G59" s="80"/>
    </row>
    <row r="60">
      <c r="G60" s="80"/>
    </row>
    <row r="61">
      <c r="G61" s="80"/>
    </row>
    <row r="62">
      <c r="G62" s="80"/>
    </row>
    <row r="63">
      <c r="G63" s="80"/>
    </row>
    <row r="64">
      <c r="G64" s="80"/>
    </row>
    <row r="65">
      <c r="G65" s="80"/>
    </row>
    <row r="66">
      <c r="G66" s="80"/>
    </row>
    <row r="67">
      <c r="G67" s="80"/>
    </row>
    <row r="68">
      <c r="G68" s="80"/>
    </row>
    <row r="69">
      <c r="G69" s="80"/>
    </row>
    <row r="70">
      <c r="G70" s="80"/>
    </row>
    <row r="71">
      <c r="G71" s="80"/>
    </row>
    <row r="72">
      <c r="G72" s="80"/>
    </row>
    <row r="73">
      <c r="G73" s="80"/>
    </row>
    <row r="74">
      <c r="G74" s="80"/>
    </row>
    <row r="75">
      <c r="G75" s="80"/>
    </row>
    <row r="76">
      <c r="G76" s="80"/>
    </row>
    <row r="77">
      <c r="G77" s="80"/>
    </row>
    <row r="78">
      <c r="G78" s="80"/>
    </row>
    <row r="79">
      <c r="G79" s="80"/>
    </row>
    <row r="80">
      <c r="G80" s="80"/>
    </row>
    <row r="81">
      <c r="G81" s="80"/>
    </row>
    <row r="82">
      <c r="G82" s="80"/>
    </row>
    <row r="83">
      <c r="G83" s="80"/>
    </row>
    <row r="84">
      <c r="G84" s="80"/>
    </row>
    <row r="85">
      <c r="G85" s="80"/>
    </row>
    <row r="86">
      <c r="G86" s="80"/>
    </row>
    <row r="87">
      <c r="G87" s="80"/>
    </row>
    <row r="88">
      <c r="G88" s="80"/>
    </row>
    <row r="89">
      <c r="G89" s="80"/>
    </row>
    <row r="90">
      <c r="G90" s="80"/>
    </row>
    <row r="91">
      <c r="G91" s="80"/>
    </row>
    <row r="92">
      <c r="G92" s="80"/>
    </row>
    <row r="93">
      <c r="G93" s="80"/>
    </row>
    <row r="94">
      <c r="G94" s="80"/>
    </row>
    <row r="95">
      <c r="G95" s="80"/>
    </row>
    <row r="96">
      <c r="G96" s="80"/>
    </row>
    <row r="97">
      <c r="G97" s="80"/>
    </row>
    <row r="98">
      <c r="G98" s="80"/>
    </row>
    <row r="99">
      <c r="G99" s="80"/>
    </row>
    <row r="100">
      <c r="G100" s="80"/>
    </row>
    <row r="101">
      <c r="G101" s="80"/>
    </row>
    <row r="102">
      <c r="G102" s="80"/>
    </row>
    <row r="103">
      <c r="G103" s="80"/>
    </row>
    <row r="104">
      <c r="G104" s="80"/>
    </row>
    <row r="105">
      <c r="G105" s="80"/>
    </row>
    <row r="106">
      <c r="G106" s="80"/>
    </row>
    <row r="107">
      <c r="G107" s="80"/>
    </row>
    <row r="108">
      <c r="G108" s="80"/>
    </row>
    <row r="109">
      <c r="G109" s="80"/>
    </row>
    <row r="110">
      <c r="G110" s="80"/>
    </row>
    <row r="111">
      <c r="G111" s="80"/>
    </row>
    <row r="112">
      <c r="G112" s="80"/>
    </row>
    <row r="113">
      <c r="G113" s="80"/>
    </row>
    <row r="114">
      <c r="G114" s="80"/>
    </row>
    <row r="115">
      <c r="G115" s="80"/>
    </row>
    <row r="116">
      <c r="G116" s="80"/>
    </row>
    <row r="117">
      <c r="G117" s="80"/>
    </row>
    <row r="118">
      <c r="G118" s="80"/>
    </row>
    <row r="119">
      <c r="G119" s="80"/>
    </row>
    <row r="120">
      <c r="G120" s="80"/>
    </row>
    <row r="121">
      <c r="G121" s="80"/>
    </row>
    <row r="122">
      <c r="G122" s="80"/>
    </row>
    <row r="123">
      <c r="G123" s="80"/>
    </row>
    <row r="124">
      <c r="G124" s="80"/>
    </row>
    <row r="125">
      <c r="G125" s="80"/>
    </row>
    <row r="126">
      <c r="G126" s="80"/>
    </row>
    <row r="127">
      <c r="G127" s="80"/>
    </row>
    <row r="128">
      <c r="G128" s="80"/>
    </row>
    <row r="129">
      <c r="G129" s="80"/>
    </row>
    <row r="130">
      <c r="G130" s="80"/>
    </row>
    <row r="131">
      <c r="G131" s="80"/>
    </row>
    <row r="132">
      <c r="G132" s="80"/>
    </row>
    <row r="133">
      <c r="G133" s="80"/>
    </row>
    <row r="134">
      <c r="G134" s="80"/>
    </row>
    <row r="135">
      <c r="G135" s="80"/>
    </row>
    <row r="136">
      <c r="G136" s="80"/>
    </row>
    <row r="137">
      <c r="G137" s="80"/>
    </row>
    <row r="138">
      <c r="G138" s="80"/>
    </row>
    <row r="139">
      <c r="G139" s="80"/>
    </row>
    <row r="140">
      <c r="G140" s="80"/>
    </row>
    <row r="141">
      <c r="G141" s="80"/>
    </row>
    <row r="142">
      <c r="G142" s="80"/>
    </row>
    <row r="143">
      <c r="G143" s="80"/>
    </row>
    <row r="144">
      <c r="G144" s="80"/>
    </row>
    <row r="145">
      <c r="G145" s="80"/>
    </row>
    <row r="146">
      <c r="G146" s="80"/>
    </row>
    <row r="147">
      <c r="G147" s="80"/>
    </row>
    <row r="148">
      <c r="G148" s="80"/>
    </row>
    <row r="149">
      <c r="G149" s="80"/>
    </row>
    <row r="150">
      <c r="G150" s="80"/>
    </row>
    <row r="151">
      <c r="G151" s="80"/>
    </row>
    <row r="152">
      <c r="G152" s="80"/>
    </row>
    <row r="153">
      <c r="G153" s="80"/>
    </row>
    <row r="154">
      <c r="G154" s="80"/>
    </row>
    <row r="155">
      <c r="G155" s="80"/>
    </row>
    <row r="156">
      <c r="G156" s="80"/>
    </row>
    <row r="157">
      <c r="G157" s="80"/>
    </row>
    <row r="158">
      <c r="G158" s="80"/>
    </row>
    <row r="159">
      <c r="G159" s="80"/>
    </row>
    <row r="160">
      <c r="G160" s="80"/>
    </row>
    <row r="161">
      <c r="G161" s="80"/>
    </row>
    <row r="162">
      <c r="G162" s="80"/>
    </row>
    <row r="163">
      <c r="G163" s="80"/>
    </row>
    <row r="164">
      <c r="G164" s="80"/>
    </row>
    <row r="165">
      <c r="G165" s="80"/>
    </row>
    <row r="166">
      <c r="G166" s="80"/>
    </row>
    <row r="167">
      <c r="G167" s="80"/>
    </row>
    <row r="168">
      <c r="G168" s="80"/>
    </row>
    <row r="169">
      <c r="G169" s="80"/>
    </row>
    <row r="170">
      <c r="G170" s="80"/>
    </row>
    <row r="171">
      <c r="G171" s="80"/>
    </row>
    <row r="172">
      <c r="G172" s="80"/>
    </row>
    <row r="173">
      <c r="G173" s="80"/>
    </row>
    <row r="174">
      <c r="G174" s="80"/>
    </row>
    <row r="175">
      <c r="G175" s="80"/>
    </row>
    <row r="176">
      <c r="G176" s="80"/>
    </row>
    <row r="177">
      <c r="G177" s="80"/>
    </row>
    <row r="178">
      <c r="G178" s="80"/>
    </row>
    <row r="179">
      <c r="G179" s="80"/>
    </row>
    <row r="180">
      <c r="G180" s="80"/>
    </row>
    <row r="181">
      <c r="G181" s="80"/>
    </row>
    <row r="182">
      <c r="G182" s="80"/>
    </row>
    <row r="183">
      <c r="G183" s="80"/>
    </row>
    <row r="184">
      <c r="G184" s="80"/>
    </row>
    <row r="185">
      <c r="G185" s="80"/>
    </row>
    <row r="186">
      <c r="G186" s="80"/>
    </row>
    <row r="187">
      <c r="G187" s="80"/>
    </row>
    <row r="188">
      <c r="G188" s="80"/>
    </row>
    <row r="189">
      <c r="G189" s="80"/>
    </row>
    <row r="190">
      <c r="G190" s="80"/>
    </row>
    <row r="191">
      <c r="G191" s="80"/>
    </row>
    <row r="192">
      <c r="G192" s="80"/>
    </row>
    <row r="193">
      <c r="G193" s="80"/>
    </row>
    <row r="194">
      <c r="G194" s="80"/>
    </row>
    <row r="195">
      <c r="G195" s="80"/>
    </row>
    <row r="196">
      <c r="G196" s="80"/>
    </row>
    <row r="197">
      <c r="G197" s="80"/>
    </row>
    <row r="198">
      <c r="G198" s="80"/>
    </row>
    <row r="199">
      <c r="G199" s="80"/>
    </row>
    <row r="200">
      <c r="G200" s="80"/>
    </row>
    <row r="201">
      <c r="G201" s="80"/>
    </row>
    <row r="202">
      <c r="G202" s="80"/>
    </row>
    <row r="203">
      <c r="G203" s="80"/>
    </row>
    <row r="204">
      <c r="G204" s="80"/>
    </row>
    <row r="205">
      <c r="G205" s="80"/>
    </row>
    <row r="206">
      <c r="G206" s="80"/>
    </row>
    <row r="207">
      <c r="G207" s="80"/>
    </row>
    <row r="208">
      <c r="G208" s="80"/>
    </row>
    <row r="209">
      <c r="G209" s="80"/>
    </row>
    <row r="210">
      <c r="G210" s="80"/>
    </row>
    <row r="211">
      <c r="G211" s="80"/>
    </row>
    <row r="212">
      <c r="G212" s="80"/>
    </row>
    <row r="213">
      <c r="G213" s="80"/>
    </row>
    <row r="214">
      <c r="G214" s="80"/>
    </row>
    <row r="215">
      <c r="G215" s="80"/>
    </row>
    <row r="216">
      <c r="G216" s="80"/>
    </row>
    <row r="217">
      <c r="G217" s="80"/>
    </row>
    <row r="218">
      <c r="G218" s="80"/>
    </row>
    <row r="219">
      <c r="G219" s="80"/>
    </row>
    <row r="220">
      <c r="G220" s="80"/>
    </row>
    <row r="221">
      <c r="G221" s="80"/>
    </row>
    <row r="222">
      <c r="G222" s="80"/>
    </row>
    <row r="223">
      <c r="G223" s="80"/>
    </row>
    <row r="224">
      <c r="G224" s="80"/>
    </row>
    <row r="225">
      <c r="G225" s="80"/>
    </row>
    <row r="226">
      <c r="G226" s="80"/>
    </row>
    <row r="227">
      <c r="G227" s="80"/>
    </row>
    <row r="228">
      <c r="G228" s="80"/>
    </row>
    <row r="229">
      <c r="G229" s="80"/>
    </row>
    <row r="230">
      <c r="G230" s="80"/>
    </row>
    <row r="231">
      <c r="G231" s="80"/>
    </row>
    <row r="232">
      <c r="G232" s="80"/>
    </row>
    <row r="233">
      <c r="G233" s="80"/>
    </row>
    <row r="234">
      <c r="G234" s="80"/>
    </row>
    <row r="235">
      <c r="G235" s="80"/>
    </row>
    <row r="236">
      <c r="G236" s="80"/>
    </row>
    <row r="237">
      <c r="G237" s="80"/>
    </row>
    <row r="238">
      <c r="G238" s="80"/>
    </row>
    <row r="239">
      <c r="G239" s="80"/>
    </row>
    <row r="240">
      <c r="G240" s="80"/>
    </row>
    <row r="241">
      <c r="G241" s="80"/>
    </row>
    <row r="242">
      <c r="G242" s="80"/>
    </row>
    <row r="243">
      <c r="G243" s="80"/>
    </row>
    <row r="244">
      <c r="G244" s="80"/>
    </row>
    <row r="245">
      <c r="G245" s="80"/>
    </row>
    <row r="246">
      <c r="G246" s="80"/>
    </row>
    <row r="247">
      <c r="G247" s="80"/>
    </row>
    <row r="248">
      <c r="G248" s="80"/>
    </row>
    <row r="249">
      <c r="G249" s="80"/>
    </row>
    <row r="250">
      <c r="G250" s="80"/>
    </row>
    <row r="251">
      <c r="G251" s="80"/>
    </row>
    <row r="252">
      <c r="G252" s="80"/>
    </row>
    <row r="253">
      <c r="G253" s="80"/>
    </row>
    <row r="254">
      <c r="G254" s="80"/>
    </row>
    <row r="255">
      <c r="G255" s="80"/>
    </row>
    <row r="256">
      <c r="G256" s="80"/>
    </row>
    <row r="257">
      <c r="G257" s="80"/>
    </row>
    <row r="258">
      <c r="G258" s="80"/>
    </row>
    <row r="259">
      <c r="G259" s="80"/>
    </row>
    <row r="260">
      <c r="G260" s="80"/>
    </row>
    <row r="261">
      <c r="G261" s="80"/>
    </row>
    <row r="262">
      <c r="G262" s="80"/>
    </row>
    <row r="263">
      <c r="G263" s="80"/>
    </row>
    <row r="264">
      <c r="G264" s="80"/>
    </row>
    <row r="265">
      <c r="G265" s="80"/>
    </row>
    <row r="266">
      <c r="G266" s="80"/>
    </row>
    <row r="267">
      <c r="G267" s="80"/>
    </row>
    <row r="268">
      <c r="G268" s="80"/>
    </row>
    <row r="269">
      <c r="G269" s="80"/>
    </row>
    <row r="270">
      <c r="G270" s="80"/>
    </row>
    <row r="271">
      <c r="G271" s="80"/>
    </row>
    <row r="272">
      <c r="G272" s="80"/>
    </row>
    <row r="273">
      <c r="G273" s="80"/>
    </row>
    <row r="274">
      <c r="G274" s="80"/>
    </row>
    <row r="275">
      <c r="G275" s="80"/>
    </row>
    <row r="276">
      <c r="G276" s="80"/>
    </row>
    <row r="277">
      <c r="G277" s="80"/>
    </row>
    <row r="278">
      <c r="G278" s="80"/>
    </row>
    <row r="279">
      <c r="G279" s="80"/>
    </row>
    <row r="280">
      <c r="G280" s="80"/>
    </row>
    <row r="281">
      <c r="G281" s="80"/>
    </row>
    <row r="282">
      <c r="G282" s="80"/>
    </row>
    <row r="283">
      <c r="G283" s="80"/>
    </row>
    <row r="284">
      <c r="G284" s="80"/>
    </row>
    <row r="285">
      <c r="G285" s="80"/>
    </row>
    <row r="286">
      <c r="G286" s="80"/>
    </row>
    <row r="287">
      <c r="G287" s="80"/>
    </row>
    <row r="288">
      <c r="G288" s="80"/>
    </row>
    <row r="289">
      <c r="G289" s="80"/>
    </row>
    <row r="290">
      <c r="G290" s="80"/>
    </row>
    <row r="291">
      <c r="G291" s="80"/>
    </row>
    <row r="292">
      <c r="G292" s="80"/>
    </row>
    <row r="293">
      <c r="G293" s="80"/>
    </row>
    <row r="294">
      <c r="G294" s="80"/>
    </row>
    <row r="295">
      <c r="G295" s="80"/>
    </row>
    <row r="296">
      <c r="G296" s="80"/>
    </row>
    <row r="297">
      <c r="G297" s="80"/>
    </row>
    <row r="298">
      <c r="G298" s="80"/>
    </row>
    <row r="299">
      <c r="G299" s="80"/>
    </row>
    <row r="300">
      <c r="G300" s="80"/>
    </row>
    <row r="301">
      <c r="G301" s="80"/>
    </row>
    <row r="302">
      <c r="G302" s="80"/>
    </row>
    <row r="303">
      <c r="G303" s="80"/>
    </row>
    <row r="304">
      <c r="G304" s="80"/>
    </row>
    <row r="305">
      <c r="G305" s="80"/>
    </row>
    <row r="306">
      <c r="G306" s="80"/>
    </row>
    <row r="307">
      <c r="G307" s="80"/>
    </row>
    <row r="308">
      <c r="G308" s="80"/>
    </row>
    <row r="309">
      <c r="G309" s="80"/>
    </row>
    <row r="310">
      <c r="G310" s="80"/>
    </row>
    <row r="311">
      <c r="G311" s="80"/>
    </row>
    <row r="312">
      <c r="G312" s="80"/>
    </row>
    <row r="313">
      <c r="G313" s="80"/>
    </row>
    <row r="314">
      <c r="G314" s="80"/>
    </row>
    <row r="315">
      <c r="G315" s="80"/>
    </row>
    <row r="316">
      <c r="G316" s="80"/>
    </row>
    <row r="317">
      <c r="G317" s="80"/>
    </row>
    <row r="318">
      <c r="G318" s="80"/>
    </row>
    <row r="319">
      <c r="G319" s="80"/>
    </row>
    <row r="320">
      <c r="G320" s="80"/>
    </row>
    <row r="321">
      <c r="G321" s="80"/>
    </row>
    <row r="322">
      <c r="G322" s="80"/>
    </row>
    <row r="323">
      <c r="G323" s="80"/>
    </row>
    <row r="324">
      <c r="G324" s="80"/>
    </row>
    <row r="325">
      <c r="G325" s="80"/>
    </row>
    <row r="326">
      <c r="G326" s="80"/>
    </row>
    <row r="327">
      <c r="G327" s="80"/>
    </row>
    <row r="328">
      <c r="G328" s="80"/>
    </row>
    <row r="329">
      <c r="G329" s="80"/>
    </row>
    <row r="330">
      <c r="G330" s="80"/>
    </row>
    <row r="331">
      <c r="G331" s="80"/>
    </row>
    <row r="332">
      <c r="G332" s="80"/>
    </row>
    <row r="333">
      <c r="G333" s="80"/>
    </row>
    <row r="334">
      <c r="G334" s="80"/>
    </row>
    <row r="335">
      <c r="G335" s="80"/>
    </row>
    <row r="336">
      <c r="G336" s="80"/>
    </row>
    <row r="337">
      <c r="G337" s="80"/>
    </row>
    <row r="338">
      <c r="G338" s="80"/>
    </row>
    <row r="339">
      <c r="G339" s="80"/>
    </row>
    <row r="340">
      <c r="G340" s="80"/>
    </row>
    <row r="341">
      <c r="G341" s="80"/>
    </row>
    <row r="342">
      <c r="G342" s="80"/>
    </row>
    <row r="343">
      <c r="G343" s="80"/>
    </row>
    <row r="344">
      <c r="G344" s="80"/>
    </row>
    <row r="345">
      <c r="G345" s="80"/>
    </row>
    <row r="346">
      <c r="G346" s="80"/>
    </row>
    <row r="347">
      <c r="G347" s="80"/>
    </row>
    <row r="348">
      <c r="G348" s="80"/>
    </row>
    <row r="349">
      <c r="G349" s="80"/>
    </row>
    <row r="350">
      <c r="G350" s="80"/>
    </row>
    <row r="351">
      <c r="G351" s="80"/>
    </row>
    <row r="352">
      <c r="G352" s="80"/>
    </row>
    <row r="353">
      <c r="G353" s="80"/>
    </row>
    <row r="354">
      <c r="G354" s="80"/>
    </row>
    <row r="355">
      <c r="G355" s="80"/>
    </row>
    <row r="356">
      <c r="G356" s="80"/>
    </row>
    <row r="357">
      <c r="G357" s="80"/>
    </row>
    <row r="358">
      <c r="G358" s="80"/>
    </row>
    <row r="359">
      <c r="G359" s="80"/>
    </row>
    <row r="360">
      <c r="G360" s="80"/>
    </row>
    <row r="361">
      <c r="G361" s="80"/>
    </row>
    <row r="362">
      <c r="G362" s="80"/>
    </row>
    <row r="363">
      <c r="G363" s="80"/>
    </row>
    <row r="364">
      <c r="G364" s="80"/>
    </row>
    <row r="365">
      <c r="G365" s="80"/>
    </row>
    <row r="366">
      <c r="G366" s="80"/>
    </row>
    <row r="367">
      <c r="G367" s="80"/>
    </row>
    <row r="368">
      <c r="G368" s="80"/>
    </row>
    <row r="369">
      <c r="G369" s="80"/>
    </row>
    <row r="370">
      <c r="G370" s="80"/>
    </row>
    <row r="371">
      <c r="G371" s="80"/>
    </row>
    <row r="372">
      <c r="G372" s="80"/>
    </row>
    <row r="373">
      <c r="G373" s="80"/>
    </row>
    <row r="374">
      <c r="G374" s="80"/>
    </row>
    <row r="375">
      <c r="G375" s="80"/>
    </row>
    <row r="376">
      <c r="G376" s="80"/>
    </row>
    <row r="377">
      <c r="G377" s="80"/>
    </row>
    <row r="378">
      <c r="G378" s="80"/>
    </row>
    <row r="379">
      <c r="G379" s="80"/>
    </row>
    <row r="380">
      <c r="G380" s="80"/>
    </row>
    <row r="381">
      <c r="G381" s="80"/>
    </row>
    <row r="382">
      <c r="G382" s="80"/>
    </row>
    <row r="383">
      <c r="G383" s="80"/>
    </row>
    <row r="384">
      <c r="G384" s="80"/>
    </row>
    <row r="385">
      <c r="G385" s="80"/>
    </row>
    <row r="386">
      <c r="G386" s="80"/>
    </row>
    <row r="387">
      <c r="G387" s="80"/>
    </row>
    <row r="388">
      <c r="G388" s="80"/>
    </row>
    <row r="389">
      <c r="G389" s="80"/>
    </row>
    <row r="390">
      <c r="G390" s="80"/>
    </row>
    <row r="391">
      <c r="G391" s="80"/>
    </row>
    <row r="392">
      <c r="G392" s="80"/>
    </row>
    <row r="393">
      <c r="G393" s="80"/>
    </row>
    <row r="394">
      <c r="G394" s="80"/>
    </row>
    <row r="395">
      <c r="G395" s="80"/>
    </row>
    <row r="396">
      <c r="G396" s="80"/>
    </row>
    <row r="397">
      <c r="G397" s="80"/>
    </row>
    <row r="398">
      <c r="G398" s="80"/>
    </row>
    <row r="399">
      <c r="G399" s="80"/>
    </row>
    <row r="400">
      <c r="G400" s="80"/>
    </row>
    <row r="401">
      <c r="G401" s="80"/>
    </row>
    <row r="402">
      <c r="G402" s="80"/>
    </row>
    <row r="403">
      <c r="G403" s="80"/>
    </row>
    <row r="404">
      <c r="G404" s="80"/>
    </row>
    <row r="405">
      <c r="G405" s="80"/>
    </row>
    <row r="406">
      <c r="G406" s="80"/>
    </row>
    <row r="407">
      <c r="G407" s="80"/>
    </row>
    <row r="408">
      <c r="G408" s="80"/>
    </row>
    <row r="409">
      <c r="G409" s="80"/>
    </row>
    <row r="410">
      <c r="G410" s="80"/>
    </row>
    <row r="411">
      <c r="G411" s="80"/>
    </row>
    <row r="412">
      <c r="G412" s="80"/>
    </row>
    <row r="413">
      <c r="G413" s="80"/>
    </row>
    <row r="414">
      <c r="G414" s="80"/>
    </row>
    <row r="415">
      <c r="G415" s="80"/>
    </row>
    <row r="416">
      <c r="G416" s="80"/>
    </row>
    <row r="417">
      <c r="G417" s="80"/>
    </row>
    <row r="418">
      <c r="G418" s="80"/>
    </row>
    <row r="419">
      <c r="G419" s="80"/>
    </row>
    <row r="420">
      <c r="G420" s="80"/>
    </row>
    <row r="421">
      <c r="G421" s="80"/>
    </row>
    <row r="422">
      <c r="G422" s="80"/>
    </row>
    <row r="423">
      <c r="G423" s="80"/>
    </row>
    <row r="424">
      <c r="G424" s="80"/>
    </row>
    <row r="425">
      <c r="G425" s="80"/>
    </row>
    <row r="426">
      <c r="G426" s="80"/>
    </row>
    <row r="427">
      <c r="G427" s="80"/>
    </row>
    <row r="428">
      <c r="G428" s="80"/>
    </row>
    <row r="429">
      <c r="G429" s="80"/>
    </row>
    <row r="430">
      <c r="G430" s="80"/>
    </row>
    <row r="431">
      <c r="G431" s="80"/>
    </row>
    <row r="432">
      <c r="G432" s="80"/>
    </row>
    <row r="433">
      <c r="G433" s="80"/>
    </row>
    <row r="434">
      <c r="G434" s="80"/>
    </row>
    <row r="435">
      <c r="G435" s="80"/>
    </row>
    <row r="436">
      <c r="G436" s="80"/>
    </row>
    <row r="437">
      <c r="G437" s="80"/>
    </row>
    <row r="438">
      <c r="G438" s="80"/>
    </row>
    <row r="439">
      <c r="G439" s="80"/>
    </row>
    <row r="440">
      <c r="G440" s="80"/>
    </row>
    <row r="441">
      <c r="G441" s="80"/>
    </row>
    <row r="442">
      <c r="G442" s="80"/>
    </row>
    <row r="443">
      <c r="G443" s="80"/>
    </row>
    <row r="444">
      <c r="G444" s="80"/>
    </row>
    <row r="445">
      <c r="G445" s="80"/>
    </row>
    <row r="446">
      <c r="G446" s="80"/>
    </row>
    <row r="447">
      <c r="G447" s="80"/>
    </row>
    <row r="448">
      <c r="G448" s="80"/>
    </row>
    <row r="449">
      <c r="G449" s="80"/>
    </row>
    <row r="450">
      <c r="G450" s="80"/>
    </row>
    <row r="451">
      <c r="G451" s="80"/>
    </row>
    <row r="452">
      <c r="G452" s="80"/>
    </row>
    <row r="453">
      <c r="G453" s="80"/>
    </row>
    <row r="454">
      <c r="G454" s="80"/>
    </row>
    <row r="455">
      <c r="G455" s="80"/>
    </row>
    <row r="456">
      <c r="G456" s="80"/>
    </row>
    <row r="457">
      <c r="G457" s="80"/>
    </row>
    <row r="458">
      <c r="G458" s="80"/>
    </row>
    <row r="459">
      <c r="G459" s="80"/>
    </row>
    <row r="460">
      <c r="G460" s="80"/>
    </row>
    <row r="461">
      <c r="G461" s="80"/>
    </row>
    <row r="462">
      <c r="G462" s="80"/>
    </row>
    <row r="463">
      <c r="G463" s="80"/>
    </row>
    <row r="464">
      <c r="G464" s="80"/>
    </row>
    <row r="465">
      <c r="G465" s="80"/>
    </row>
    <row r="466">
      <c r="G466" s="80"/>
    </row>
    <row r="467">
      <c r="G467" s="80"/>
    </row>
    <row r="468">
      <c r="G468" s="80"/>
    </row>
    <row r="469">
      <c r="G469" s="80"/>
    </row>
    <row r="470">
      <c r="G470" s="80"/>
    </row>
    <row r="471">
      <c r="G471" s="80"/>
    </row>
    <row r="472">
      <c r="G472" s="80"/>
    </row>
    <row r="473">
      <c r="G473" s="80"/>
    </row>
    <row r="474">
      <c r="G474" s="80"/>
    </row>
    <row r="475">
      <c r="G475" s="80"/>
    </row>
    <row r="476">
      <c r="G476" s="80"/>
    </row>
    <row r="477">
      <c r="G477" s="80"/>
    </row>
    <row r="478">
      <c r="G478" s="80"/>
    </row>
    <row r="479">
      <c r="G479" s="80"/>
    </row>
    <row r="480">
      <c r="G480" s="80"/>
    </row>
    <row r="481">
      <c r="G481" s="80"/>
    </row>
    <row r="482">
      <c r="G482" s="80"/>
    </row>
    <row r="483">
      <c r="G483" s="80"/>
    </row>
    <row r="484">
      <c r="G484" s="80"/>
    </row>
    <row r="485">
      <c r="G485" s="80"/>
    </row>
    <row r="486">
      <c r="G486" s="80"/>
    </row>
    <row r="487">
      <c r="G487" s="80"/>
    </row>
    <row r="488">
      <c r="G488" s="80"/>
    </row>
    <row r="489">
      <c r="G489" s="80"/>
    </row>
    <row r="490">
      <c r="G490" s="80"/>
    </row>
    <row r="491">
      <c r="G491" s="80"/>
    </row>
    <row r="492">
      <c r="G492" s="80"/>
    </row>
    <row r="493">
      <c r="G493" s="80"/>
    </row>
    <row r="494">
      <c r="G494" s="80"/>
    </row>
    <row r="495">
      <c r="G495" s="80"/>
    </row>
    <row r="496">
      <c r="G496" s="80"/>
    </row>
    <row r="497">
      <c r="G497" s="80"/>
    </row>
    <row r="498">
      <c r="G498" s="80"/>
    </row>
    <row r="499">
      <c r="G499" s="80"/>
    </row>
    <row r="500">
      <c r="G500" s="80"/>
    </row>
    <row r="501">
      <c r="G501" s="80"/>
    </row>
    <row r="502">
      <c r="G502" s="80"/>
    </row>
    <row r="503">
      <c r="G503" s="80"/>
    </row>
    <row r="504">
      <c r="G504" s="80"/>
    </row>
    <row r="505">
      <c r="G505" s="80"/>
    </row>
    <row r="506">
      <c r="G506" s="80"/>
    </row>
    <row r="507">
      <c r="G507" s="80"/>
    </row>
    <row r="508">
      <c r="G508" s="80"/>
    </row>
    <row r="509">
      <c r="G509" s="80"/>
    </row>
    <row r="510">
      <c r="G510" s="80"/>
    </row>
    <row r="511">
      <c r="G511" s="80"/>
    </row>
    <row r="512">
      <c r="G512" s="80"/>
    </row>
    <row r="513">
      <c r="G513" s="80"/>
    </row>
    <row r="514">
      <c r="G514" s="80"/>
    </row>
    <row r="515">
      <c r="G515" s="80"/>
    </row>
    <row r="516">
      <c r="G516" s="80"/>
    </row>
    <row r="517">
      <c r="G517" s="80"/>
    </row>
    <row r="518">
      <c r="G518" s="80"/>
    </row>
    <row r="519">
      <c r="G519" s="80"/>
    </row>
    <row r="520">
      <c r="G520" s="80"/>
    </row>
    <row r="521">
      <c r="G521" s="80"/>
    </row>
    <row r="522">
      <c r="G522" s="80"/>
    </row>
    <row r="523">
      <c r="G523" s="80"/>
    </row>
    <row r="524">
      <c r="G524" s="80"/>
    </row>
    <row r="525">
      <c r="G525" s="80"/>
    </row>
    <row r="526">
      <c r="G526" s="80"/>
    </row>
    <row r="527">
      <c r="G527" s="80"/>
    </row>
    <row r="528">
      <c r="G528" s="80"/>
    </row>
    <row r="529">
      <c r="G529" s="80"/>
    </row>
    <row r="530">
      <c r="G530" s="80"/>
    </row>
    <row r="531">
      <c r="G531" s="80"/>
    </row>
    <row r="532">
      <c r="G532" s="80"/>
    </row>
    <row r="533">
      <c r="G533" s="80"/>
    </row>
    <row r="534">
      <c r="G534" s="80"/>
    </row>
    <row r="535">
      <c r="G535" s="80"/>
    </row>
    <row r="536">
      <c r="G536" s="80"/>
    </row>
    <row r="537">
      <c r="G537" s="80"/>
    </row>
    <row r="538">
      <c r="G538" s="80"/>
    </row>
    <row r="539">
      <c r="G539" s="80"/>
    </row>
    <row r="540">
      <c r="G540" s="80"/>
    </row>
    <row r="541">
      <c r="G541" s="80"/>
    </row>
    <row r="542">
      <c r="G542" s="80"/>
    </row>
    <row r="543">
      <c r="G543" s="80"/>
    </row>
    <row r="544">
      <c r="G544" s="80"/>
    </row>
    <row r="545">
      <c r="G545" s="80"/>
    </row>
    <row r="546">
      <c r="G546" s="80"/>
    </row>
    <row r="547">
      <c r="G547" s="80"/>
    </row>
    <row r="548">
      <c r="G548" s="80"/>
    </row>
    <row r="549">
      <c r="G549" s="80"/>
    </row>
    <row r="550">
      <c r="G550" s="80"/>
    </row>
    <row r="551">
      <c r="G551" s="80"/>
    </row>
    <row r="552">
      <c r="G552" s="80"/>
    </row>
    <row r="553">
      <c r="G553" s="80"/>
    </row>
    <row r="554">
      <c r="G554" s="80"/>
    </row>
    <row r="555">
      <c r="G555" s="80"/>
    </row>
    <row r="556">
      <c r="G556" s="80"/>
    </row>
    <row r="557">
      <c r="G557" s="80"/>
    </row>
    <row r="558">
      <c r="G558" s="80"/>
    </row>
    <row r="559">
      <c r="G559" s="80"/>
    </row>
    <row r="560">
      <c r="G560" s="80"/>
    </row>
    <row r="561">
      <c r="G561" s="80"/>
    </row>
    <row r="562">
      <c r="G562" s="80"/>
    </row>
    <row r="563">
      <c r="G563" s="80"/>
    </row>
    <row r="564">
      <c r="G564" s="80"/>
    </row>
    <row r="565">
      <c r="G565" s="80"/>
    </row>
    <row r="566">
      <c r="G566" s="80"/>
    </row>
    <row r="567">
      <c r="G567" s="80"/>
    </row>
    <row r="568">
      <c r="G568" s="80"/>
    </row>
    <row r="569">
      <c r="G569" s="80"/>
    </row>
    <row r="570">
      <c r="G570" s="80"/>
    </row>
    <row r="571">
      <c r="G571" s="80"/>
    </row>
    <row r="572">
      <c r="G572" s="80"/>
    </row>
    <row r="573">
      <c r="G573" s="80"/>
    </row>
    <row r="574">
      <c r="G574" s="80"/>
    </row>
    <row r="575">
      <c r="G575" s="80"/>
    </row>
    <row r="576">
      <c r="G576" s="80"/>
    </row>
    <row r="577">
      <c r="G577" s="80"/>
    </row>
    <row r="578">
      <c r="G578" s="80"/>
    </row>
    <row r="579">
      <c r="G579" s="80"/>
    </row>
    <row r="580">
      <c r="G580" s="80"/>
    </row>
    <row r="581">
      <c r="G581" s="80"/>
    </row>
    <row r="582">
      <c r="G582" s="80"/>
    </row>
    <row r="583">
      <c r="G583" s="80"/>
    </row>
    <row r="584">
      <c r="G584" s="80"/>
    </row>
    <row r="585">
      <c r="G585" s="80"/>
    </row>
    <row r="586">
      <c r="G586" s="80"/>
    </row>
    <row r="587">
      <c r="G587" s="80"/>
    </row>
    <row r="588">
      <c r="G588" s="80"/>
    </row>
    <row r="589">
      <c r="G589" s="80"/>
    </row>
    <row r="590">
      <c r="G590" s="80"/>
    </row>
    <row r="591">
      <c r="G591" s="80"/>
    </row>
    <row r="592">
      <c r="G592" s="80"/>
    </row>
    <row r="593">
      <c r="G593" s="80"/>
    </row>
    <row r="594">
      <c r="G594" s="80"/>
    </row>
    <row r="595">
      <c r="G595" s="80"/>
    </row>
    <row r="596">
      <c r="G596" s="80"/>
    </row>
    <row r="597">
      <c r="G597" s="80"/>
    </row>
    <row r="598">
      <c r="G598" s="80"/>
    </row>
    <row r="599">
      <c r="G599" s="80"/>
    </row>
    <row r="600">
      <c r="G600" s="80"/>
    </row>
    <row r="601">
      <c r="G601" s="80"/>
    </row>
    <row r="602">
      <c r="G602" s="80"/>
    </row>
    <row r="603">
      <c r="G603" s="80"/>
    </row>
    <row r="604">
      <c r="G604" s="80"/>
    </row>
    <row r="605">
      <c r="G605" s="80"/>
    </row>
    <row r="606">
      <c r="G606" s="80"/>
    </row>
    <row r="607">
      <c r="G607" s="80"/>
    </row>
    <row r="608">
      <c r="G608" s="80"/>
    </row>
    <row r="609">
      <c r="G609" s="80"/>
    </row>
    <row r="610">
      <c r="G610" s="80"/>
    </row>
    <row r="611">
      <c r="G611" s="80"/>
    </row>
    <row r="612">
      <c r="G612" s="80"/>
    </row>
    <row r="613">
      <c r="G613" s="80"/>
    </row>
    <row r="614">
      <c r="G614" s="80"/>
    </row>
    <row r="615">
      <c r="G615" s="80"/>
    </row>
    <row r="616">
      <c r="G616" s="80"/>
    </row>
    <row r="617">
      <c r="G617" s="80"/>
    </row>
    <row r="618">
      <c r="G618" s="80"/>
    </row>
    <row r="619">
      <c r="G619" s="80"/>
    </row>
    <row r="620">
      <c r="G620" s="80"/>
    </row>
    <row r="621">
      <c r="G621" s="80"/>
    </row>
    <row r="622">
      <c r="G622" s="80"/>
    </row>
    <row r="623">
      <c r="G623" s="80"/>
    </row>
    <row r="624">
      <c r="G624" s="80"/>
    </row>
    <row r="625">
      <c r="G625" s="80"/>
    </row>
    <row r="626">
      <c r="G626" s="80"/>
    </row>
    <row r="627">
      <c r="G627" s="80"/>
    </row>
    <row r="628">
      <c r="G628" s="80"/>
    </row>
    <row r="629">
      <c r="G629" s="80"/>
    </row>
    <row r="630">
      <c r="G630" s="80"/>
    </row>
    <row r="631">
      <c r="G631" s="80"/>
    </row>
    <row r="632">
      <c r="G632" s="80"/>
    </row>
    <row r="633">
      <c r="G633" s="80"/>
    </row>
    <row r="634">
      <c r="G634" s="80"/>
    </row>
    <row r="635">
      <c r="G635" s="80"/>
    </row>
    <row r="636">
      <c r="G636" s="80"/>
    </row>
    <row r="637">
      <c r="G637" s="80"/>
    </row>
    <row r="638">
      <c r="G638" s="80"/>
    </row>
    <row r="639">
      <c r="G639" s="80"/>
    </row>
    <row r="640">
      <c r="G640" s="80"/>
    </row>
    <row r="641">
      <c r="G641" s="80"/>
    </row>
    <row r="642">
      <c r="G642" s="80"/>
    </row>
    <row r="643">
      <c r="G643" s="80"/>
    </row>
    <row r="644">
      <c r="G644" s="80"/>
    </row>
    <row r="645">
      <c r="G645" s="80"/>
    </row>
    <row r="646">
      <c r="G646" s="80"/>
    </row>
    <row r="647">
      <c r="G647" s="80"/>
    </row>
    <row r="648">
      <c r="G648" s="80"/>
    </row>
    <row r="649">
      <c r="G649" s="80"/>
    </row>
    <row r="650">
      <c r="G650" s="80"/>
    </row>
    <row r="651">
      <c r="G651" s="80"/>
    </row>
    <row r="652">
      <c r="G652" s="80"/>
    </row>
    <row r="653">
      <c r="G653" s="80"/>
    </row>
    <row r="654">
      <c r="G654" s="80"/>
    </row>
    <row r="655">
      <c r="G655" s="80"/>
    </row>
    <row r="656">
      <c r="G656" s="80"/>
    </row>
    <row r="657">
      <c r="G657" s="80"/>
    </row>
    <row r="658">
      <c r="G658" s="80"/>
    </row>
    <row r="659">
      <c r="G659" s="80"/>
    </row>
    <row r="660">
      <c r="G660" s="80"/>
    </row>
    <row r="661">
      <c r="G661" s="80"/>
    </row>
    <row r="662">
      <c r="G662" s="80"/>
    </row>
    <row r="663">
      <c r="G663" s="80"/>
    </row>
    <row r="664">
      <c r="G664" s="80"/>
    </row>
    <row r="665">
      <c r="G665" s="80"/>
    </row>
    <row r="666">
      <c r="G666" s="80"/>
    </row>
    <row r="667">
      <c r="G667" s="80"/>
    </row>
    <row r="668">
      <c r="G668" s="80"/>
    </row>
    <row r="669">
      <c r="G669" s="80"/>
    </row>
    <row r="670">
      <c r="G670" s="80"/>
    </row>
    <row r="671">
      <c r="G671" s="80"/>
    </row>
    <row r="672">
      <c r="G672" s="80"/>
    </row>
    <row r="673">
      <c r="G673" s="80"/>
    </row>
    <row r="674">
      <c r="G674" s="80"/>
    </row>
    <row r="675">
      <c r="G675" s="80"/>
    </row>
    <row r="676">
      <c r="G676" s="80"/>
    </row>
    <row r="677">
      <c r="G677" s="80"/>
    </row>
    <row r="678">
      <c r="G678" s="80"/>
    </row>
    <row r="679">
      <c r="G679" s="80"/>
    </row>
    <row r="680">
      <c r="G680" s="80"/>
    </row>
    <row r="681">
      <c r="G681" s="80"/>
    </row>
    <row r="682">
      <c r="G682" s="80"/>
    </row>
    <row r="683">
      <c r="G683" s="80"/>
    </row>
    <row r="684">
      <c r="G684" s="80"/>
    </row>
    <row r="685">
      <c r="G685" s="80"/>
    </row>
    <row r="686">
      <c r="G686" s="80"/>
    </row>
    <row r="687">
      <c r="G687" s="80"/>
    </row>
    <row r="688">
      <c r="G688" s="80"/>
    </row>
    <row r="689">
      <c r="G689" s="80"/>
    </row>
    <row r="690">
      <c r="G690" s="80"/>
    </row>
    <row r="691">
      <c r="G691" s="80"/>
    </row>
    <row r="692">
      <c r="G692" s="80"/>
    </row>
    <row r="693">
      <c r="G693" s="80"/>
    </row>
    <row r="694">
      <c r="G694" s="80"/>
    </row>
    <row r="695">
      <c r="G695" s="80"/>
    </row>
    <row r="696">
      <c r="G696" s="80"/>
    </row>
    <row r="697">
      <c r="G697" s="80"/>
    </row>
    <row r="698">
      <c r="G698" s="80"/>
    </row>
    <row r="699">
      <c r="G699" s="80"/>
    </row>
    <row r="700">
      <c r="G700" s="80"/>
    </row>
    <row r="701">
      <c r="G701" s="80"/>
    </row>
    <row r="702">
      <c r="G702" s="80"/>
    </row>
    <row r="703">
      <c r="G703" s="80"/>
    </row>
    <row r="704">
      <c r="G704" s="80"/>
    </row>
    <row r="705">
      <c r="G705" s="80"/>
    </row>
    <row r="706">
      <c r="G706" s="80"/>
    </row>
    <row r="707">
      <c r="G707" s="80"/>
    </row>
    <row r="708">
      <c r="G708" s="80"/>
    </row>
    <row r="709">
      <c r="G709" s="80"/>
    </row>
    <row r="710">
      <c r="G710" s="80"/>
    </row>
    <row r="711">
      <c r="G711" s="80"/>
    </row>
    <row r="712">
      <c r="G712" s="80"/>
    </row>
    <row r="713">
      <c r="G713" s="80"/>
    </row>
    <row r="714">
      <c r="G714" s="80"/>
    </row>
    <row r="715">
      <c r="G715" s="80"/>
    </row>
    <row r="716">
      <c r="G716" s="80"/>
    </row>
    <row r="717">
      <c r="G717" s="80"/>
    </row>
    <row r="718">
      <c r="G718" s="80"/>
    </row>
    <row r="719">
      <c r="G719" s="80"/>
    </row>
    <row r="720">
      <c r="G720" s="80"/>
    </row>
    <row r="721">
      <c r="G721" s="80"/>
    </row>
    <row r="722">
      <c r="G722" s="80"/>
    </row>
    <row r="723">
      <c r="G723" s="80"/>
    </row>
    <row r="724">
      <c r="G724" s="80"/>
    </row>
    <row r="725">
      <c r="G725" s="80"/>
    </row>
    <row r="726">
      <c r="G726" s="80"/>
    </row>
    <row r="727">
      <c r="G727" s="80"/>
    </row>
    <row r="728">
      <c r="G728" s="80"/>
    </row>
    <row r="729">
      <c r="G729" s="80"/>
    </row>
    <row r="730">
      <c r="G730" s="80"/>
    </row>
    <row r="731">
      <c r="G731" s="80"/>
    </row>
    <row r="732">
      <c r="G732" s="80"/>
    </row>
    <row r="733">
      <c r="G733" s="80"/>
    </row>
    <row r="734">
      <c r="G734" s="80"/>
    </row>
    <row r="735">
      <c r="G735" s="80"/>
    </row>
    <row r="736">
      <c r="G736" s="80"/>
    </row>
    <row r="737">
      <c r="G737" s="80"/>
    </row>
    <row r="738">
      <c r="G738" s="80"/>
    </row>
    <row r="739">
      <c r="G739" s="80"/>
    </row>
    <row r="740">
      <c r="G740" s="80"/>
    </row>
    <row r="741">
      <c r="G741" s="80"/>
    </row>
    <row r="742">
      <c r="G742" s="80"/>
    </row>
    <row r="743">
      <c r="G743" s="80"/>
    </row>
    <row r="744">
      <c r="G744" s="80"/>
    </row>
    <row r="745">
      <c r="G745" s="80"/>
    </row>
    <row r="746">
      <c r="G746" s="80"/>
    </row>
    <row r="747">
      <c r="G747" s="80"/>
    </row>
    <row r="748">
      <c r="G748" s="80"/>
    </row>
    <row r="749">
      <c r="G749" s="80"/>
    </row>
    <row r="750">
      <c r="G750" s="80"/>
    </row>
    <row r="751">
      <c r="G751" s="80"/>
    </row>
    <row r="752">
      <c r="G752" s="80"/>
    </row>
    <row r="753">
      <c r="G753" s="80"/>
    </row>
    <row r="754">
      <c r="G754" s="80"/>
    </row>
    <row r="755">
      <c r="G755" s="80"/>
    </row>
    <row r="756">
      <c r="G756" s="80"/>
    </row>
    <row r="757">
      <c r="G757" s="80"/>
    </row>
    <row r="758">
      <c r="G758" s="80"/>
    </row>
    <row r="759">
      <c r="G759" s="80"/>
    </row>
    <row r="760">
      <c r="G760" s="80"/>
    </row>
    <row r="761">
      <c r="G761" s="80"/>
    </row>
    <row r="762">
      <c r="G762" s="80"/>
    </row>
    <row r="763">
      <c r="G763" s="80"/>
    </row>
    <row r="764">
      <c r="G764" s="80"/>
    </row>
    <row r="765">
      <c r="G765" s="80"/>
    </row>
    <row r="766">
      <c r="G766" s="80"/>
    </row>
    <row r="767">
      <c r="G767" s="80"/>
    </row>
    <row r="768">
      <c r="G768" s="80"/>
    </row>
    <row r="769">
      <c r="G769" s="80"/>
    </row>
    <row r="770">
      <c r="G770" s="80"/>
    </row>
    <row r="771">
      <c r="G771" s="80"/>
    </row>
    <row r="772">
      <c r="G772" s="80"/>
    </row>
    <row r="773">
      <c r="G773" s="80"/>
    </row>
    <row r="774">
      <c r="G774" s="80"/>
    </row>
    <row r="775">
      <c r="G775" s="80"/>
    </row>
    <row r="776">
      <c r="G776" s="80"/>
    </row>
    <row r="777">
      <c r="G777" s="80"/>
    </row>
    <row r="778">
      <c r="G778" s="80"/>
    </row>
    <row r="779">
      <c r="G779" s="80"/>
    </row>
    <row r="780">
      <c r="G780" s="80"/>
    </row>
    <row r="781">
      <c r="G781" s="80"/>
    </row>
    <row r="782">
      <c r="G782" s="80"/>
    </row>
    <row r="783">
      <c r="G783" s="80"/>
    </row>
    <row r="784">
      <c r="G784" s="80"/>
    </row>
    <row r="785">
      <c r="G785" s="80"/>
    </row>
    <row r="786">
      <c r="G786" s="80"/>
    </row>
    <row r="787">
      <c r="G787" s="80"/>
    </row>
    <row r="788">
      <c r="G788" s="80"/>
    </row>
    <row r="789">
      <c r="G789" s="80"/>
    </row>
    <row r="790">
      <c r="G790" s="80"/>
    </row>
    <row r="791">
      <c r="G791" s="80"/>
    </row>
    <row r="792">
      <c r="G792" s="80"/>
    </row>
    <row r="793">
      <c r="G793" s="80"/>
    </row>
    <row r="794">
      <c r="G794" s="80"/>
    </row>
    <row r="795">
      <c r="G795" s="80"/>
    </row>
    <row r="796">
      <c r="G796" s="80"/>
    </row>
    <row r="797">
      <c r="G797" s="80"/>
    </row>
    <row r="798">
      <c r="G798" s="80"/>
    </row>
    <row r="799">
      <c r="G799" s="80"/>
    </row>
    <row r="800">
      <c r="G800" s="80"/>
    </row>
    <row r="801">
      <c r="G801" s="80"/>
    </row>
    <row r="802">
      <c r="G802" s="80"/>
    </row>
    <row r="803">
      <c r="G803" s="80"/>
    </row>
    <row r="804">
      <c r="G804" s="80"/>
    </row>
    <row r="805">
      <c r="G805" s="80"/>
    </row>
    <row r="806">
      <c r="G806" s="80"/>
    </row>
    <row r="807">
      <c r="G807" s="80"/>
    </row>
    <row r="808">
      <c r="G808" s="80"/>
    </row>
    <row r="809">
      <c r="G809" s="80"/>
    </row>
    <row r="810">
      <c r="G810" s="80"/>
    </row>
    <row r="811">
      <c r="G811" s="80"/>
    </row>
    <row r="812">
      <c r="G812" s="80"/>
    </row>
    <row r="813">
      <c r="G813" s="80"/>
    </row>
    <row r="814">
      <c r="G814" s="80"/>
    </row>
    <row r="815">
      <c r="G815" s="80"/>
    </row>
    <row r="816">
      <c r="G816" s="80"/>
    </row>
    <row r="817">
      <c r="G817" s="80"/>
    </row>
    <row r="818">
      <c r="G818" s="80"/>
    </row>
    <row r="819">
      <c r="G819" s="80"/>
    </row>
    <row r="820">
      <c r="G820" s="80"/>
    </row>
    <row r="821">
      <c r="G821" s="80"/>
    </row>
    <row r="822">
      <c r="G822" s="80"/>
    </row>
    <row r="823">
      <c r="G823" s="80"/>
    </row>
    <row r="824">
      <c r="G824" s="80"/>
    </row>
    <row r="825">
      <c r="G825" s="80"/>
    </row>
    <row r="826">
      <c r="G826" s="80"/>
    </row>
    <row r="827">
      <c r="G827" s="80"/>
    </row>
    <row r="828">
      <c r="G828" s="80"/>
    </row>
    <row r="829">
      <c r="G829" s="80"/>
    </row>
    <row r="830">
      <c r="G830" s="80"/>
    </row>
    <row r="831">
      <c r="G831" s="80"/>
    </row>
    <row r="832">
      <c r="G832" s="80"/>
    </row>
    <row r="833">
      <c r="G833" s="80"/>
    </row>
    <row r="834">
      <c r="G834" s="80"/>
    </row>
    <row r="835">
      <c r="G835" s="80"/>
    </row>
    <row r="836">
      <c r="G836" s="80"/>
    </row>
    <row r="837">
      <c r="G837" s="80"/>
    </row>
    <row r="838">
      <c r="G838" s="80"/>
    </row>
    <row r="839">
      <c r="G839" s="80"/>
    </row>
    <row r="840">
      <c r="G840" s="80"/>
    </row>
    <row r="841">
      <c r="G841" s="80"/>
    </row>
    <row r="842">
      <c r="G842" s="80"/>
    </row>
    <row r="843">
      <c r="G843" s="80"/>
    </row>
    <row r="844">
      <c r="G844" s="80"/>
    </row>
    <row r="845">
      <c r="G845" s="80"/>
    </row>
    <row r="846">
      <c r="G846" s="80"/>
    </row>
    <row r="847">
      <c r="G847" s="80"/>
    </row>
    <row r="848">
      <c r="G848" s="80"/>
    </row>
    <row r="849">
      <c r="G849" s="80"/>
    </row>
    <row r="850">
      <c r="G850" s="80"/>
    </row>
    <row r="851">
      <c r="G851" s="80"/>
    </row>
    <row r="852">
      <c r="G852" s="80"/>
    </row>
    <row r="853">
      <c r="G853" s="80"/>
    </row>
    <row r="854">
      <c r="G854" s="80"/>
    </row>
    <row r="855">
      <c r="G855" s="80"/>
    </row>
    <row r="856">
      <c r="G856" s="80"/>
    </row>
    <row r="857">
      <c r="G857" s="80"/>
    </row>
    <row r="858">
      <c r="G858" s="80"/>
    </row>
    <row r="859">
      <c r="G859" s="80"/>
    </row>
    <row r="860">
      <c r="G860" s="80"/>
    </row>
    <row r="861">
      <c r="G861" s="80"/>
    </row>
    <row r="862">
      <c r="G862" s="80"/>
    </row>
    <row r="863">
      <c r="G863" s="80"/>
    </row>
    <row r="864">
      <c r="G864" s="80"/>
    </row>
    <row r="865">
      <c r="G865" s="80"/>
    </row>
    <row r="866">
      <c r="G866" s="80"/>
    </row>
    <row r="867">
      <c r="G867" s="80"/>
    </row>
    <row r="868">
      <c r="G868" s="80"/>
    </row>
    <row r="869">
      <c r="G869" s="80"/>
    </row>
    <row r="870">
      <c r="G870" s="80"/>
    </row>
    <row r="871">
      <c r="G871" s="80"/>
    </row>
    <row r="872">
      <c r="G872" s="80"/>
    </row>
    <row r="873">
      <c r="G873" s="80"/>
    </row>
    <row r="874">
      <c r="G874" s="80"/>
    </row>
    <row r="875">
      <c r="G875" s="80"/>
    </row>
    <row r="876">
      <c r="G876" s="80"/>
    </row>
    <row r="877">
      <c r="G877" s="80"/>
    </row>
    <row r="878">
      <c r="G878" s="80"/>
    </row>
    <row r="879">
      <c r="G879" s="80"/>
    </row>
    <row r="880">
      <c r="G880" s="80"/>
    </row>
    <row r="881">
      <c r="G881" s="80"/>
    </row>
    <row r="882">
      <c r="G882" s="80"/>
    </row>
    <row r="883">
      <c r="G883" s="80"/>
    </row>
    <row r="884">
      <c r="G884" s="80"/>
    </row>
    <row r="885">
      <c r="G885" s="80"/>
    </row>
    <row r="886">
      <c r="G886" s="80"/>
    </row>
    <row r="887">
      <c r="G887" s="80"/>
    </row>
    <row r="888">
      <c r="G888" s="80"/>
    </row>
    <row r="889">
      <c r="G889" s="80"/>
    </row>
    <row r="890">
      <c r="G890" s="80"/>
    </row>
    <row r="891">
      <c r="G891" s="80"/>
    </row>
    <row r="892">
      <c r="G892" s="80"/>
    </row>
    <row r="893">
      <c r="G893" s="80"/>
    </row>
    <row r="894">
      <c r="G894" s="80"/>
    </row>
    <row r="895">
      <c r="G895" s="80"/>
    </row>
    <row r="896">
      <c r="G896" s="80"/>
    </row>
    <row r="897">
      <c r="G897" s="80"/>
    </row>
    <row r="898">
      <c r="G898" s="80"/>
    </row>
    <row r="899">
      <c r="G899" s="80"/>
    </row>
    <row r="900">
      <c r="G900" s="80"/>
    </row>
    <row r="901">
      <c r="G901" s="80"/>
    </row>
    <row r="902">
      <c r="G902" s="80"/>
    </row>
    <row r="903">
      <c r="G903" s="80"/>
    </row>
    <row r="904">
      <c r="G904" s="80"/>
    </row>
    <row r="905">
      <c r="G905" s="80"/>
    </row>
    <row r="906">
      <c r="G906" s="80"/>
    </row>
    <row r="907">
      <c r="G907" s="80"/>
    </row>
    <row r="908">
      <c r="G908" s="80"/>
    </row>
    <row r="909">
      <c r="G909" s="80"/>
    </row>
    <row r="910">
      <c r="G910" s="80"/>
    </row>
    <row r="911">
      <c r="G911" s="80"/>
    </row>
    <row r="912">
      <c r="G912" s="80"/>
    </row>
    <row r="913">
      <c r="G913" s="80"/>
    </row>
    <row r="914">
      <c r="G914" s="80"/>
    </row>
    <row r="915">
      <c r="G915" s="80"/>
    </row>
    <row r="916">
      <c r="G916" s="80"/>
    </row>
    <row r="917">
      <c r="G917" s="80"/>
    </row>
    <row r="918">
      <c r="G918" s="80"/>
    </row>
    <row r="919">
      <c r="G919" s="80"/>
    </row>
    <row r="920">
      <c r="G920" s="80"/>
    </row>
    <row r="921">
      <c r="G921" s="80"/>
    </row>
    <row r="922">
      <c r="G922" s="80"/>
    </row>
    <row r="923">
      <c r="G923" s="80"/>
    </row>
    <row r="924">
      <c r="G924" s="80"/>
    </row>
    <row r="925">
      <c r="G925" s="80"/>
    </row>
    <row r="926">
      <c r="G926" s="80"/>
    </row>
    <row r="927">
      <c r="G927" s="80"/>
    </row>
    <row r="928">
      <c r="G928" s="80"/>
    </row>
    <row r="929">
      <c r="G929" s="80"/>
    </row>
    <row r="930">
      <c r="G930" s="80"/>
    </row>
    <row r="931">
      <c r="G931" s="80"/>
    </row>
    <row r="932">
      <c r="G932" s="80"/>
    </row>
    <row r="933">
      <c r="G933" s="80"/>
    </row>
    <row r="934">
      <c r="G934" s="80"/>
    </row>
    <row r="935">
      <c r="G935" s="80"/>
    </row>
    <row r="936">
      <c r="G936" s="80"/>
    </row>
    <row r="937">
      <c r="G937" s="80"/>
    </row>
    <row r="938">
      <c r="G938" s="80"/>
    </row>
    <row r="939">
      <c r="G939" s="80"/>
    </row>
    <row r="940">
      <c r="G940" s="80"/>
    </row>
    <row r="941">
      <c r="G941" s="80"/>
    </row>
    <row r="942">
      <c r="G942" s="80"/>
    </row>
    <row r="943">
      <c r="G943" s="80"/>
    </row>
    <row r="944">
      <c r="G944" s="80"/>
    </row>
    <row r="945">
      <c r="G945" s="80"/>
    </row>
    <row r="946">
      <c r="G946" s="80"/>
    </row>
    <row r="947">
      <c r="G947" s="80"/>
    </row>
    <row r="948">
      <c r="G948" s="80"/>
    </row>
    <row r="949">
      <c r="G949" s="80"/>
    </row>
    <row r="950">
      <c r="G950" s="80"/>
    </row>
    <row r="951">
      <c r="G951" s="80"/>
    </row>
    <row r="952">
      <c r="G952" s="80"/>
    </row>
    <row r="953">
      <c r="G953" s="80"/>
    </row>
    <row r="954">
      <c r="G954" s="80"/>
    </row>
    <row r="955">
      <c r="G955" s="80"/>
    </row>
    <row r="956">
      <c r="G956" s="80"/>
    </row>
    <row r="957">
      <c r="G957" s="80"/>
    </row>
    <row r="958">
      <c r="G958" s="80"/>
    </row>
    <row r="959">
      <c r="G959" s="80"/>
    </row>
    <row r="960">
      <c r="G960" s="80"/>
    </row>
    <row r="961">
      <c r="G961" s="80"/>
    </row>
    <row r="962">
      <c r="G962" s="80"/>
    </row>
    <row r="963">
      <c r="G963" s="80"/>
    </row>
    <row r="964">
      <c r="G964" s="80"/>
    </row>
    <row r="965">
      <c r="G965" s="80"/>
    </row>
    <row r="966">
      <c r="G966" s="80"/>
    </row>
    <row r="967">
      <c r="G967" s="80"/>
    </row>
    <row r="968">
      <c r="G968" s="80"/>
    </row>
    <row r="969">
      <c r="G969" s="80"/>
    </row>
    <row r="970">
      <c r="G970" s="80"/>
    </row>
    <row r="971">
      <c r="G971" s="80"/>
    </row>
    <row r="972">
      <c r="G972" s="80"/>
    </row>
    <row r="973">
      <c r="G973" s="80"/>
    </row>
    <row r="974">
      <c r="G974" s="80"/>
    </row>
    <row r="975">
      <c r="G975" s="80"/>
    </row>
    <row r="976">
      <c r="G976" s="80"/>
    </row>
    <row r="977">
      <c r="G977" s="80"/>
    </row>
    <row r="978">
      <c r="G978" s="80"/>
    </row>
    <row r="979">
      <c r="G979" s="80"/>
    </row>
    <row r="980">
      <c r="G980" s="80"/>
    </row>
    <row r="981">
      <c r="G981" s="80"/>
    </row>
    <row r="982">
      <c r="G982" s="80"/>
    </row>
    <row r="983">
      <c r="G983" s="80"/>
    </row>
    <row r="984">
      <c r="G984" s="80"/>
    </row>
    <row r="985">
      <c r="G985" s="80"/>
    </row>
    <row r="986">
      <c r="G986" s="80"/>
    </row>
    <row r="987">
      <c r="G987" s="80"/>
    </row>
    <row r="988">
      <c r="G988" s="80"/>
    </row>
    <row r="989">
      <c r="G989" s="80"/>
    </row>
    <row r="990">
      <c r="G990" s="80"/>
    </row>
    <row r="991">
      <c r="G991" s="80"/>
    </row>
    <row r="992">
      <c r="G992" s="80"/>
    </row>
    <row r="993">
      <c r="G993" s="80"/>
    </row>
    <row r="994">
      <c r="G994" s="80"/>
    </row>
    <row r="995">
      <c r="G995" s="80"/>
    </row>
    <row r="996">
      <c r="G996" s="80"/>
    </row>
    <row r="997">
      <c r="G997" s="80"/>
    </row>
    <row r="998">
      <c r="G998" s="80"/>
    </row>
    <row r="999">
      <c r="G999" s="80"/>
    </row>
    <row r="1000">
      <c r="G1000" s="80"/>
    </row>
    <row r="1001">
      <c r="G1001" s="80"/>
    </row>
    <row r="1002">
      <c r="G1002" s="80"/>
    </row>
    <row r="1003">
      <c r="G1003" s="8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6176</v>
      </c>
      <c r="B2" s="95" t="s">
        <v>6123</v>
      </c>
      <c r="C2" s="95" t="s">
        <v>6123</v>
      </c>
    </row>
    <row r="3">
      <c r="A3" s="78" t="s">
        <v>6177</v>
      </c>
      <c r="B3" s="95" t="s">
        <v>6127</v>
      </c>
      <c r="C3" s="95" t="s">
        <v>6127</v>
      </c>
    </row>
    <row r="4">
      <c r="A4" s="78" t="s">
        <v>6178</v>
      </c>
      <c r="B4" s="95" t="s">
        <v>6130</v>
      </c>
      <c r="C4" s="95" t="s">
        <v>6130</v>
      </c>
    </row>
    <row r="5">
      <c r="B5" s="9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6179</v>
      </c>
      <c r="B2" s="95" t="s">
        <v>6123</v>
      </c>
      <c r="C2" s="95" t="s">
        <v>6123</v>
      </c>
      <c r="D2" s="95" t="s">
        <v>6123</v>
      </c>
    </row>
    <row r="3">
      <c r="A3" s="78" t="s">
        <v>6180</v>
      </c>
      <c r="B3" s="95" t="s">
        <v>6127</v>
      </c>
      <c r="C3" s="95" t="s">
        <v>6127</v>
      </c>
      <c r="D3" s="95" t="s">
        <v>6127</v>
      </c>
    </row>
    <row r="4">
      <c r="A4" s="78" t="s">
        <v>6181</v>
      </c>
      <c r="B4" s="95" t="s">
        <v>6130</v>
      </c>
      <c r="C4" s="95" t="s">
        <v>6130</v>
      </c>
      <c r="D4" s="95" t="s">
        <v>6130</v>
      </c>
    </row>
    <row r="5">
      <c r="A5" s="78" t="s">
        <v>6182</v>
      </c>
      <c r="B5" s="95" t="s">
        <v>6145</v>
      </c>
      <c r="C5" s="95" t="s">
        <v>6145</v>
      </c>
      <c r="D5" s="95" t="s">
        <v>6145</v>
      </c>
    </row>
    <row r="6">
      <c r="A6" s="78" t="s">
        <v>6183</v>
      </c>
      <c r="B6" s="95" t="s">
        <v>6184</v>
      </c>
      <c r="C6" s="95" t="s">
        <v>6184</v>
      </c>
      <c r="D6" s="95" t="s">
        <v>6184</v>
      </c>
    </row>
    <row r="7">
      <c r="A7" s="78" t="s">
        <v>6185</v>
      </c>
      <c r="B7" s="95" t="s">
        <v>6186</v>
      </c>
      <c r="C7" s="95" t="s">
        <v>6186</v>
      </c>
      <c r="D7" s="95" t="s">
        <v>6186</v>
      </c>
    </row>
    <row r="8">
      <c r="A8" s="78" t="s">
        <v>6187</v>
      </c>
      <c r="B8" s="95" t="s">
        <v>6188</v>
      </c>
      <c r="C8" s="95" t="s">
        <v>6188</v>
      </c>
      <c r="D8" s="95" t="s">
        <v>6188</v>
      </c>
    </row>
    <row r="9">
      <c r="A9" s="78" t="s">
        <v>6178</v>
      </c>
      <c r="B9" s="95"/>
      <c r="C9" s="95" t="s">
        <v>6189</v>
      </c>
      <c r="D9" s="95" t="s">
        <v>6189</v>
      </c>
    </row>
    <row r="10">
      <c r="B10" s="96"/>
      <c r="C10" s="96"/>
    </row>
    <row r="11">
      <c r="B11" s="96"/>
      <c r="C11" s="9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75"/>
  </cols>
  <sheetData>
    <row r="1">
      <c r="A1" s="78" t="s">
        <v>6119</v>
      </c>
      <c r="B1" s="95" t="s">
        <v>6120</v>
      </c>
      <c r="C1" s="95" t="s">
        <v>11</v>
      </c>
      <c r="D1" s="78" t="s">
        <v>12</v>
      </c>
      <c r="E1" s="95" t="s">
        <v>6190</v>
      </c>
      <c r="F1" s="78" t="s">
        <v>6191</v>
      </c>
    </row>
    <row r="2">
      <c r="A2" s="78" t="s">
        <v>292</v>
      </c>
      <c r="B2" s="95" t="s">
        <v>6123</v>
      </c>
      <c r="C2" s="95"/>
      <c r="D2" s="95" t="s">
        <v>6123</v>
      </c>
      <c r="E2" s="95" t="s">
        <v>6123</v>
      </c>
      <c r="F2" s="95" t="s">
        <v>6123</v>
      </c>
    </row>
    <row r="3">
      <c r="A3" s="78" t="s">
        <v>6192</v>
      </c>
      <c r="B3" s="95" t="s">
        <v>6127</v>
      </c>
      <c r="C3" s="95"/>
      <c r="D3" s="95" t="s">
        <v>6130</v>
      </c>
      <c r="E3" s="95" t="s">
        <v>6127</v>
      </c>
      <c r="F3" s="95" t="s">
        <v>6127</v>
      </c>
    </row>
    <row r="4">
      <c r="A4" s="78" t="s">
        <v>6193</v>
      </c>
      <c r="B4" s="95" t="s">
        <v>6124</v>
      </c>
      <c r="C4" s="95"/>
      <c r="D4" s="95" t="s">
        <v>6184</v>
      </c>
      <c r="E4" s="95" t="s">
        <v>6145</v>
      </c>
      <c r="F4" s="95" t="s">
        <v>6145</v>
      </c>
    </row>
    <row r="5">
      <c r="A5" s="78" t="s">
        <v>6178</v>
      </c>
      <c r="B5" s="95"/>
      <c r="C5" s="95"/>
      <c r="D5" s="95" t="s">
        <v>6186</v>
      </c>
      <c r="E5" s="95" t="s">
        <v>6184</v>
      </c>
      <c r="F5" s="95" t="s">
        <v>6184</v>
      </c>
    </row>
    <row r="6">
      <c r="A6" s="78" t="s">
        <v>2671</v>
      </c>
      <c r="B6" s="95" t="s">
        <v>6123</v>
      </c>
      <c r="C6" s="95"/>
      <c r="D6" s="95" t="s">
        <v>6194</v>
      </c>
      <c r="E6" s="95"/>
      <c r="F6" s="95"/>
    </row>
    <row r="7">
      <c r="A7" s="78" t="s">
        <v>6195</v>
      </c>
      <c r="B7" s="95" t="s">
        <v>6127</v>
      </c>
      <c r="C7" s="96"/>
      <c r="E7" s="95" t="s">
        <v>6130</v>
      </c>
      <c r="F7" s="95" t="s">
        <v>6130</v>
      </c>
    </row>
    <row r="8">
      <c r="B8" s="96"/>
      <c r="C8" s="96"/>
      <c r="E8" s="9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6196</v>
      </c>
      <c r="B2" s="95" t="s">
        <v>6123</v>
      </c>
      <c r="C2" s="95" t="s">
        <v>6123</v>
      </c>
    </row>
    <row r="3">
      <c r="A3" s="78" t="s">
        <v>6197</v>
      </c>
      <c r="B3" s="95" t="s">
        <v>6127</v>
      </c>
      <c r="C3" s="95" t="s">
        <v>6127</v>
      </c>
    </row>
    <row r="4">
      <c r="A4" s="78" t="s">
        <v>6198</v>
      </c>
      <c r="B4" s="95" t="s">
        <v>6130</v>
      </c>
      <c r="C4" s="95" t="s">
        <v>6130</v>
      </c>
    </row>
    <row r="5">
      <c r="A5" s="78" t="s">
        <v>6199</v>
      </c>
      <c r="B5" s="95" t="s">
        <v>6145</v>
      </c>
      <c r="C5" s="95" t="s">
        <v>6145</v>
      </c>
    </row>
    <row r="6">
      <c r="A6" s="78" t="s">
        <v>6200</v>
      </c>
      <c r="B6" s="95" t="s">
        <v>6184</v>
      </c>
      <c r="C6" s="95" t="s">
        <v>6184</v>
      </c>
    </row>
    <row r="7">
      <c r="A7" s="78" t="s">
        <v>6201</v>
      </c>
      <c r="B7" s="95" t="s">
        <v>6186</v>
      </c>
      <c r="C7" s="95" t="s">
        <v>6186</v>
      </c>
    </row>
    <row r="8">
      <c r="A8" s="78" t="s">
        <v>6202</v>
      </c>
      <c r="B8" s="95" t="s">
        <v>6188</v>
      </c>
      <c r="C8" s="95" t="s">
        <v>6188</v>
      </c>
    </row>
    <row r="9">
      <c r="B9" s="95"/>
      <c r="C9" s="95"/>
    </row>
    <row r="10">
      <c r="B10" s="9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6203</v>
      </c>
      <c r="B2" s="95" t="s">
        <v>6123</v>
      </c>
      <c r="C2" s="95" t="s">
        <v>6123</v>
      </c>
    </row>
    <row r="3">
      <c r="A3" s="78" t="s">
        <v>6204</v>
      </c>
      <c r="B3" s="95" t="s">
        <v>6127</v>
      </c>
      <c r="C3" s="95" t="s">
        <v>6127</v>
      </c>
    </row>
    <row r="4">
      <c r="A4" s="78" t="s">
        <v>6205</v>
      </c>
      <c r="B4" s="95" t="s">
        <v>6130</v>
      </c>
      <c r="C4" s="95" t="s">
        <v>6130</v>
      </c>
    </row>
    <row r="5">
      <c r="A5" s="78" t="s">
        <v>6206</v>
      </c>
      <c r="B5" s="95" t="s">
        <v>6145</v>
      </c>
      <c r="C5" s="95" t="s">
        <v>6145</v>
      </c>
    </row>
    <row r="6">
      <c r="A6" s="78" t="s">
        <v>6178</v>
      </c>
      <c r="B6" s="95" t="s">
        <v>6186</v>
      </c>
      <c r="C6" s="95" t="s">
        <v>6186</v>
      </c>
    </row>
    <row r="7">
      <c r="B7" s="95"/>
      <c r="C7" s="95"/>
    </row>
    <row r="8">
      <c r="B8" s="95"/>
      <c r="C8" s="95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13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6207</v>
      </c>
      <c r="B2" s="95" t="s">
        <v>6123</v>
      </c>
      <c r="C2" s="95" t="s">
        <v>6123</v>
      </c>
    </row>
    <row r="3">
      <c r="A3" s="78" t="s">
        <v>6208</v>
      </c>
      <c r="B3" s="95" t="s">
        <v>6127</v>
      </c>
      <c r="C3" s="95" t="s">
        <v>6127</v>
      </c>
    </row>
    <row r="4">
      <c r="A4" s="78" t="s">
        <v>6209</v>
      </c>
      <c r="B4" s="95" t="s">
        <v>6130</v>
      </c>
      <c r="C4" s="95" t="s">
        <v>6130</v>
      </c>
    </row>
    <row r="5">
      <c r="A5" s="78" t="s">
        <v>6210</v>
      </c>
      <c r="B5" s="95" t="s">
        <v>6145</v>
      </c>
      <c r="C5" s="95" t="s">
        <v>6145</v>
      </c>
    </row>
    <row r="6">
      <c r="A6" s="78" t="s">
        <v>6211</v>
      </c>
      <c r="B6" s="95" t="s">
        <v>6184</v>
      </c>
      <c r="C6" s="95" t="s">
        <v>6184</v>
      </c>
    </row>
    <row r="7">
      <c r="A7" s="78" t="s">
        <v>6212</v>
      </c>
      <c r="B7" s="95" t="s">
        <v>6186</v>
      </c>
      <c r="C7" s="95" t="s">
        <v>6186</v>
      </c>
    </row>
    <row r="8">
      <c r="A8" s="78" t="s">
        <v>6178</v>
      </c>
      <c r="B8" s="95" t="s">
        <v>6188</v>
      </c>
      <c r="C8" s="95" t="s">
        <v>6188</v>
      </c>
    </row>
    <row r="9">
      <c r="B9" s="95"/>
      <c r="C9" s="95"/>
    </row>
    <row r="10">
      <c r="B10" s="9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6120</v>
      </c>
      <c r="C1" s="95" t="s">
        <v>11</v>
      </c>
      <c r="D1" s="78" t="s">
        <v>12</v>
      </c>
    </row>
    <row r="2">
      <c r="A2" s="78" t="s">
        <v>6213</v>
      </c>
      <c r="B2" s="95" t="s">
        <v>6123</v>
      </c>
      <c r="C2" s="95" t="s">
        <v>6123</v>
      </c>
      <c r="D2" s="95" t="s">
        <v>6123</v>
      </c>
    </row>
    <row r="3">
      <c r="A3" s="78" t="s">
        <v>6214</v>
      </c>
      <c r="B3" s="95" t="s">
        <v>6127</v>
      </c>
      <c r="C3" s="95" t="s">
        <v>6127</v>
      </c>
      <c r="D3" s="95" t="s">
        <v>6127</v>
      </c>
    </row>
    <row r="4">
      <c r="A4" s="78" t="s">
        <v>6215</v>
      </c>
      <c r="B4" s="95" t="s">
        <v>6130</v>
      </c>
      <c r="C4" s="95" t="s">
        <v>6130</v>
      </c>
      <c r="D4" s="95" t="s">
        <v>6130</v>
      </c>
    </row>
    <row r="5">
      <c r="A5" s="78" t="s">
        <v>6216</v>
      </c>
      <c r="B5" s="95" t="s">
        <v>6145</v>
      </c>
      <c r="C5" s="95" t="s">
        <v>6145</v>
      </c>
      <c r="D5" s="95" t="s">
        <v>6145</v>
      </c>
    </row>
    <row r="6">
      <c r="A6" s="78" t="s">
        <v>6217</v>
      </c>
      <c r="B6" s="95" t="s">
        <v>6184</v>
      </c>
      <c r="C6" s="95" t="s">
        <v>6184</v>
      </c>
      <c r="D6" s="95" t="s">
        <v>6184</v>
      </c>
    </row>
    <row r="7">
      <c r="A7" s="78"/>
      <c r="B7" s="95"/>
      <c r="C7" s="95"/>
      <c r="D7" s="95"/>
    </row>
    <row r="8">
      <c r="A8" s="78"/>
      <c r="B8" s="95"/>
      <c r="C8" s="95"/>
      <c r="D8" s="95"/>
    </row>
    <row r="9">
      <c r="A9" s="78"/>
      <c r="B9" s="95"/>
      <c r="C9" s="95"/>
      <c r="D9" s="95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6218</v>
      </c>
      <c r="B2" s="95" t="s">
        <v>6123</v>
      </c>
      <c r="C2" s="95" t="s">
        <v>6123</v>
      </c>
    </row>
    <row r="3">
      <c r="A3" s="78" t="s">
        <v>6219</v>
      </c>
      <c r="B3" s="95" t="s">
        <v>6127</v>
      </c>
      <c r="C3" s="95" t="s">
        <v>6127</v>
      </c>
    </row>
    <row r="4">
      <c r="A4" s="78" t="s">
        <v>6220</v>
      </c>
      <c r="B4" s="95" t="s">
        <v>6130</v>
      </c>
      <c r="C4" s="95" t="s">
        <v>6130</v>
      </c>
    </row>
    <row r="5">
      <c r="B5" s="95"/>
      <c r="C5" s="95"/>
    </row>
    <row r="6">
      <c r="B6" s="95"/>
      <c r="C6" s="95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13"/>
    <col customWidth="1" min="2" max="2" width="3.13"/>
    <col customWidth="1" min="3" max="3" width="3.5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6218</v>
      </c>
      <c r="B2" s="95" t="s">
        <v>6123</v>
      </c>
      <c r="C2" s="95" t="s">
        <v>6123</v>
      </c>
    </row>
    <row r="3">
      <c r="A3" s="78" t="s">
        <v>6218</v>
      </c>
      <c r="B3" s="95"/>
      <c r="C3" s="95" t="s">
        <v>6221</v>
      </c>
    </row>
    <row r="4">
      <c r="A4" s="78" t="s">
        <v>6219</v>
      </c>
      <c r="B4" s="95" t="s">
        <v>6127</v>
      </c>
      <c r="C4" s="95" t="s">
        <v>6127</v>
      </c>
    </row>
    <row r="5">
      <c r="A5" s="78" t="s">
        <v>6219</v>
      </c>
      <c r="B5" s="95"/>
      <c r="C5" s="95" t="s">
        <v>6222</v>
      </c>
    </row>
    <row r="6">
      <c r="A6" s="78" t="s">
        <v>6223</v>
      </c>
      <c r="B6" s="95" t="s">
        <v>6130</v>
      </c>
      <c r="C6" s="95" t="s">
        <v>6130</v>
      </c>
    </row>
    <row r="7">
      <c r="A7" s="78" t="s">
        <v>6223</v>
      </c>
      <c r="B7" s="95"/>
      <c r="C7" s="95" t="s">
        <v>6224</v>
      </c>
    </row>
    <row r="8">
      <c r="B8" s="95"/>
      <c r="C8" s="95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2" width="5.88"/>
  </cols>
  <sheetData>
    <row r="1">
      <c r="A1" s="78" t="s">
        <v>6119</v>
      </c>
      <c r="B1" s="78" t="s">
        <v>11</v>
      </c>
      <c r="C1" s="78" t="s">
        <v>12</v>
      </c>
    </row>
    <row r="2">
      <c r="A2" s="97" t="s">
        <v>6225</v>
      </c>
      <c r="B2" s="97" t="s">
        <v>6226</v>
      </c>
      <c r="C2" s="97" t="s">
        <v>6226</v>
      </c>
    </row>
    <row r="3">
      <c r="A3" s="99" t="s">
        <v>6227</v>
      </c>
      <c r="B3" s="99" t="s">
        <v>6228</v>
      </c>
      <c r="C3" s="99" t="s">
        <v>6228</v>
      </c>
    </row>
    <row r="4">
      <c r="A4" s="99" t="s">
        <v>6229</v>
      </c>
      <c r="B4" s="99" t="s">
        <v>6230</v>
      </c>
      <c r="C4" s="99" t="s">
        <v>6230</v>
      </c>
    </row>
    <row r="5">
      <c r="A5" s="99" t="s">
        <v>6231</v>
      </c>
      <c r="B5" s="99" t="s">
        <v>6232</v>
      </c>
      <c r="C5" s="99" t="s">
        <v>6232</v>
      </c>
    </row>
    <row r="6">
      <c r="A6" s="99" t="s">
        <v>6233</v>
      </c>
      <c r="B6" s="99" t="s">
        <v>6234</v>
      </c>
      <c r="C6" s="99" t="s">
        <v>6234</v>
      </c>
    </row>
    <row r="7">
      <c r="A7" s="99" t="s">
        <v>6235</v>
      </c>
      <c r="B7" s="99" t="s">
        <v>6236</v>
      </c>
      <c r="C7" s="99" t="s">
        <v>6236</v>
      </c>
    </row>
    <row r="8">
      <c r="A8" s="99" t="s">
        <v>6237</v>
      </c>
      <c r="B8" s="99" t="s">
        <v>6238</v>
      </c>
      <c r="C8" s="99" t="s">
        <v>6238</v>
      </c>
    </row>
    <row r="9">
      <c r="A9" s="99" t="s">
        <v>6239</v>
      </c>
      <c r="B9" s="99" t="s">
        <v>6240</v>
      </c>
      <c r="C9" s="99" t="s">
        <v>6240</v>
      </c>
    </row>
    <row r="10">
      <c r="A10" s="99" t="s">
        <v>6241</v>
      </c>
      <c r="B10" s="99" t="s">
        <v>6242</v>
      </c>
      <c r="C10" s="99" t="s">
        <v>6242</v>
      </c>
    </row>
    <row r="11">
      <c r="A11" s="99" t="s">
        <v>6243</v>
      </c>
      <c r="B11" s="99" t="s">
        <v>6244</v>
      </c>
      <c r="C11" s="99" t="s">
        <v>6244</v>
      </c>
    </row>
    <row r="12">
      <c r="A12" s="99" t="s">
        <v>6245</v>
      </c>
      <c r="B12" s="99" t="s">
        <v>6246</v>
      </c>
      <c r="C12" s="99" t="s">
        <v>6246</v>
      </c>
    </row>
    <row r="13">
      <c r="A13" s="99" t="s">
        <v>6247</v>
      </c>
      <c r="B13" s="99" t="s">
        <v>6248</v>
      </c>
      <c r="C13" s="99" t="s">
        <v>6248</v>
      </c>
    </row>
    <row r="14">
      <c r="A14" s="99" t="s">
        <v>6249</v>
      </c>
      <c r="B14" s="99" t="s">
        <v>6250</v>
      </c>
      <c r="C14" s="99" t="s">
        <v>6250</v>
      </c>
    </row>
    <row r="15">
      <c r="A15" s="99" t="s">
        <v>6251</v>
      </c>
      <c r="B15" s="99" t="s">
        <v>6252</v>
      </c>
      <c r="C15" s="99" t="s">
        <v>6252</v>
      </c>
    </row>
    <row r="16">
      <c r="A16" s="99" t="s">
        <v>6253</v>
      </c>
      <c r="B16" s="99" t="s">
        <v>6254</v>
      </c>
      <c r="C16" s="99" t="s">
        <v>6254</v>
      </c>
    </row>
    <row r="17">
      <c r="A17" s="99" t="s">
        <v>6255</v>
      </c>
      <c r="B17" s="99" t="s">
        <v>6256</v>
      </c>
      <c r="C17" s="99" t="s">
        <v>6256</v>
      </c>
    </row>
    <row r="18">
      <c r="A18" s="99" t="s">
        <v>6257</v>
      </c>
      <c r="B18" s="99" t="s">
        <v>6258</v>
      </c>
      <c r="C18" s="99" t="s">
        <v>6258</v>
      </c>
    </row>
    <row r="19">
      <c r="A19" s="99" t="s">
        <v>6259</v>
      </c>
      <c r="B19" s="99" t="s">
        <v>6260</v>
      </c>
      <c r="C19" s="99" t="s">
        <v>6260</v>
      </c>
    </row>
    <row r="20">
      <c r="A20" s="99" t="s">
        <v>6261</v>
      </c>
      <c r="B20" s="99" t="s">
        <v>6262</v>
      </c>
      <c r="C20" s="99" t="s">
        <v>6262</v>
      </c>
    </row>
    <row r="21">
      <c r="A21" s="99" t="s">
        <v>6263</v>
      </c>
      <c r="B21" s="99" t="s">
        <v>6264</v>
      </c>
      <c r="C21" s="99" t="s">
        <v>6264</v>
      </c>
    </row>
    <row r="22">
      <c r="A22" s="99" t="s">
        <v>6265</v>
      </c>
      <c r="B22" s="99" t="s">
        <v>6266</v>
      </c>
      <c r="C22" s="99" t="s">
        <v>6266</v>
      </c>
    </row>
    <row r="23">
      <c r="A23" s="99" t="s">
        <v>6267</v>
      </c>
      <c r="B23" s="99" t="s">
        <v>6268</v>
      </c>
      <c r="C23" s="99" t="s">
        <v>6268</v>
      </c>
    </row>
    <row r="24">
      <c r="A24" s="99" t="s">
        <v>6269</v>
      </c>
      <c r="B24" s="99" t="s">
        <v>6270</v>
      </c>
      <c r="C24" s="99" t="s">
        <v>6270</v>
      </c>
    </row>
    <row r="25">
      <c r="A25" s="99" t="s">
        <v>6271</v>
      </c>
      <c r="B25" s="99" t="s">
        <v>6272</v>
      </c>
      <c r="C25" s="99" t="s">
        <v>6272</v>
      </c>
    </row>
    <row r="26">
      <c r="A26" s="99" t="s">
        <v>6273</v>
      </c>
      <c r="B26" s="99" t="s">
        <v>6274</v>
      </c>
      <c r="C26" s="99" t="s">
        <v>6274</v>
      </c>
    </row>
    <row r="27">
      <c r="A27" s="99" t="s">
        <v>6275</v>
      </c>
      <c r="B27" s="99" t="s">
        <v>6276</v>
      </c>
      <c r="C27" s="99" t="s">
        <v>6276</v>
      </c>
    </row>
    <row r="28">
      <c r="A28" s="99" t="s">
        <v>6277</v>
      </c>
      <c r="B28" s="99" t="s">
        <v>6278</v>
      </c>
      <c r="C28" s="99" t="s">
        <v>6278</v>
      </c>
    </row>
    <row r="29">
      <c r="A29" s="99" t="s">
        <v>6279</v>
      </c>
      <c r="B29" s="99" t="s">
        <v>6280</v>
      </c>
      <c r="C29" s="99" t="s">
        <v>6280</v>
      </c>
    </row>
    <row r="30">
      <c r="A30" s="99" t="s">
        <v>6281</v>
      </c>
      <c r="B30" s="99" t="s">
        <v>6282</v>
      </c>
      <c r="C30" s="99" t="s">
        <v>6282</v>
      </c>
    </row>
    <row r="31">
      <c r="A31" s="99" t="s">
        <v>6283</v>
      </c>
      <c r="B31" s="99" t="s">
        <v>6284</v>
      </c>
      <c r="C31" s="99" t="s">
        <v>6284</v>
      </c>
    </row>
    <row r="32">
      <c r="A32" s="99" t="s">
        <v>6285</v>
      </c>
      <c r="B32" s="99" t="s">
        <v>6286</v>
      </c>
      <c r="C32" s="99" t="s">
        <v>6286</v>
      </c>
    </row>
    <row r="33">
      <c r="A33" s="99" t="s">
        <v>6287</v>
      </c>
      <c r="B33" s="99" t="s">
        <v>6288</v>
      </c>
      <c r="C33" s="99" t="s">
        <v>6288</v>
      </c>
    </row>
    <row r="34">
      <c r="A34" s="99" t="s">
        <v>6289</v>
      </c>
      <c r="B34" s="99" t="s">
        <v>6290</v>
      </c>
      <c r="C34" s="99" t="s">
        <v>6290</v>
      </c>
    </row>
    <row r="35">
      <c r="A35" s="99" t="s">
        <v>6291</v>
      </c>
      <c r="B35" s="99" t="s">
        <v>6292</v>
      </c>
      <c r="C35" s="99" t="s">
        <v>6292</v>
      </c>
    </row>
    <row r="36">
      <c r="A36" s="99" t="s">
        <v>6293</v>
      </c>
      <c r="B36" s="99" t="s">
        <v>6294</v>
      </c>
      <c r="C36" s="99" t="s">
        <v>6294</v>
      </c>
    </row>
    <row r="37">
      <c r="A37" s="99" t="s">
        <v>6295</v>
      </c>
      <c r="B37" s="99" t="s">
        <v>6296</v>
      </c>
      <c r="C37" s="99" t="s">
        <v>6296</v>
      </c>
    </row>
    <row r="38">
      <c r="A38" s="99" t="s">
        <v>6297</v>
      </c>
      <c r="B38" s="99" t="s">
        <v>6298</v>
      </c>
      <c r="C38" s="99" t="s">
        <v>6298</v>
      </c>
    </row>
    <row r="39">
      <c r="A39" s="99" t="s">
        <v>6299</v>
      </c>
      <c r="B39" s="99" t="s">
        <v>6300</v>
      </c>
      <c r="C39" s="99" t="s">
        <v>6300</v>
      </c>
    </row>
    <row r="40">
      <c r="A40" s="99" t="s">
        <v>6301</v>
      </c>
      <c r="B40" s="99" t="s">
        <v>6302</v>
      </c>
      <c r="C40" s="99" t="s">
        <v>6302</v>
      </c>
    </row>
    <row r="41">
      <c r="A41" s="99" t="s">
        <v>6303</v>
      </c>
      <c r="B41" s="99" t="s">
        <v>6304</v>
      </c>
      <c r="C41" s="99" t="s">
        <v>6304</v>
      </c>
    </row>
    <row r="42">
      <c r="A42" s="99" t="s">
        <v>6305</v>
      </c>
      <c r="B42" s="99" t="s">
        <v>6306</v>
      </c>
      <c r="C42" s="99" t="s">
        <v>6306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5425</v>
      </c>
      <c r="B3" s="78">
        <v>2.0</v>
      </c>
      <c r="C3" s="78">
        <v>1.0</v>
      </c>
      <c r="E3" s="95" t="s">
        <v>6125</v>
      </c>
    </row>
    <row r="4">
      <c r="A4" s="78" t="s">
        <v>6126</v>
      </c>
      <c r="B4" s="95" t="s">
        <v>6127</v>
      </c>
      <c r="C4" s="95" t="s">
        <v>6127</v>
      </c>
      <c r="D4" s="95" t="s">
        <v>6127</v>
      </c>
      <c r="E4" s="95" t="s">
        <v>6127</v>
      </c>
    </row>
    <row r="5">
      <c r="A5" s="78" t="s">
        <v>6126</v>
      </c>
      <c r="B5" s="78">
        <v>2.0</v>
      </c>
      <c r="C5" s="78">
        <v>2.0</v>
      </c>
      <c r="E5" s="95" t="s">
        <v>6128</v>
      </c>
    </row>
    <row r="6">
      <c r="A6" s="78" t="s">
        <v>6129</v>
      </c>
      <c r="B6" s="95" t="s">
        <v>6130</v>
      </c>
      <c r="C6" s="95" t="s">
        <v>6130</v>
      </c>
      <c r="D6" s="95" t="s">
        <v>6130</v>
      </c>
      <c r="E6" s="95"/>
    </row>
    <row r="7">
      <c r="A7" s="78" t="s">
        <v>6129</v>
      </c>
      <c r="B7" s="78">
        <v>3.0</v>
      </c>
      <c r="C7" s="78">
        <v>3.0</v>
      </c>
      <c r="E7" s="95" t="s">
        <v>6131</v>
      </c>
    </row>
    <row r="8">
      <c r="A8" s="78" t="s">
        <v>6132</v>
      </c>
      <c r="B8" s="78">
        <v>3.0</v>
      </c>
      <c r="C8" s="78">
        <v>4.0</v>
      </c>
      <c r="E8" s="95" t="s">
        <v>6133</v>
      </c>
    </row>
    <row r="9">
      <c r="B9" s="95"/>
      <c r="C9" s="95"/>
      <c r="D9" s="95"/>
      <c r="E9" s="95"/>
    </row>
    <row r="10">
      <c r="B10" s="95"/>
      <c r="C10" s="95"/>
      <c r="D10" s="95"/>
      <c r="E10" s="9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2" width="4.63"/>
    <col customWidth="1" min="3" max="3" width="3.75"/>
  </cols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6307</v>
      </c>
      <c r="B2" s="97" t="s">
        <v>6308</v>
      </c>
      <c r="C2" s="97" t="s">
        <v>6308</v>
      </c>
    </row>
    <row r="3">
      <c r="A3" s="103" t="s">
        <v>6309</v>
      </c>
      <c r="B3" s="99" t="s">
        <v>6310</v>
      </c>
      <c r="C3" s="99" t="s">
        <v>6310</v>
      </c>
    </row>
    <row r="4">
      <c r="A4" s="103" t="s">
        <v>6311</v>
      </c>
      <c r="B4" s="99" t="s">
        <v>6312</v>
      </c>
      <c r="C4" s="99" t="s">
        <v>6312</v>
      </c>
    </row>
    <row r="5">
      <c r="A5" s="103" t="s">
        <v>6313</v>
      </c>
      <c r="B5" s="99" t="s">
        <v>6314</v>
      </c>
      <c r="C5" s="99" t="s">
        <v>6314</v>
      </c>
    </row>
    <row r="6">
      <c r="A6" s="103" t="s">
        <v>6315</v>
      </c>
      <c r="B6" s="99" t="s">
        <v>6316</v>
      </c>
      <c r="C6" s="99" t="s">
        <v>6316</v>
      </c>
    </row>
    <row r="7">
      <c r="A7" s="103" t="s">
        <v>6317</v>
      </c>
      <c r="B7" s="99" t="s">
        <v>6318</v>
      </c>
      <c r="C7" s="99" t="s">
        <v>6318</v>
      </c>
    </row>
    <row r="8">
      <c r="A8" s="103" t="s">
        <v>6319</v>
      </c>
      <c r="B8" s="99" t="s">
        <v>6320</v>
      </c>
      <c r="C8" s="99" t="s">
        <v>6320</v>
      </c>
    </row>
    <row r="9">
      <c r="A9" s="103" t="s">
        <v>6321</v>
      </c>
      <c r="B9" s="99" t="s">
        <v>6322</v>
      </c>
      <c r="C9" s="99" t="s">
        <v>6322</v>
      </c>
    </row>
    <row r="10">
      <c r="A10" s="103" t="s">
        <v>6323</v>
      </c>
      <c r="B10" s="99" t="s">
        <v>6324</v>
      </c>
      <c r="C10" s="99" t="s">
        <v>6324</v>
      </c>
    </row>
    <row r="11">
      <c r="A11" s="103" t="s">
        <v>6325</v>
      </c>
      <c r="B11" s="99" t="s">
        <v>6326</v>
      </c>
      <c r="C11" s="99" t="s">
        <v>6326</v>
      </c>
    </row>
    <row r="12">
      <c r="A12" s="103" t="s">
        <v>6327</v>
      </c>
      <c r="B12" s="99" t="s">
        <v>6328</v>
      </c>
      <c r="C12" s="99" t="s">
        <v>6328</v>
      </c>
    </row>
    <row r="13">
      <c r="A13" s="103" t="s">
        <v>6329</v>
      </c>
      <c r="B13" s="99" t="s">
        <v>6330</v>
      </c>
      <c r="C13" s="99" t="s">
        <v>6330</v>
      </c>
    </row>
    <row r="14">
      <c r="A14" s="103" t="s">
        <v>6331</v>
      </c>
      <c r="B14" s="99" t="s">
        <v>6332</v>
      </c>
      <c r="C14" s="99" t="s">
        <v>6332</v>
      </c>
    </row>
    <row r="15">
      <c r="A15" s="103" t="s">
        <v>6333</v>
      </c>
      <c r="B15" s="99" t="s">
        <v>6334</v>
      </c>
      <c r="C15" s="99" t="s">
        <v>6334</v>
      </c>
    </row>
    <row r="16">
      <c r="A16" s="103" t="s">
        <v>6335</v>
      </c>
      <c r="B16" s="99" t="s">
        <v>6336</v>
      </c>
      <c r="C16" s="99" t="s">
        <v>6336</v>
      </c>
    </row>
    <row r="17">
      <c r="A17" s="103" t="s">
        <v>6337</v>
      </c>
      <c r="B17" s="99" t="s">
        <v>6338</v>
      </c>
      <c r="C17" s="99" t="s">
        <v>6338</v>
      </c>
    </row>
    <row r="18">
      <c r="A18" s="103" t="s">
        <v>6339</v>
      </c>
      <c r="B18" s="99" t="s">
        <v>6340</v>
      </c>
      <c r="C18" s="99" t="s">
        <v>6340</v>
      </c>
    </row>
    <row r="19">
      <c r="A19" s="103" t="s">
        <v>6341</v>
      </c>
      <c r="B19" s="99" t="s">
        <v>6342</v>
      </c>
      <c r="C19" s="99" t="s">
        <v>6342</v>
      </c>
    </row>
    <row r="20">
      <c r="A20" s="103" t="s">
        <v>6343</v>
      </c>
      <c r="B20" s="99" t="s">
        <v>6344</v>
      </c>
      <c r="C20" s="99" t="s">
        <v>6344</v>
      </c>
    </row>
    <row r="21">
      <c r="A21" s="103" t="s">
        <v>6345</v>
      </c>
      <c r="B21" s="99" t="s">
        <v>6346</v>
      </c>
      <c r="C21" s="99" t="s">
        <v>6346</v>
      </c>
    </row>
    <row r="22">
      <c r="A22" s="103" t="s">
        <v>6347</v>
      </c>
      <c r="B22" s="99" t="s">
        <v>6348</v>
      </c>
      <c r="C22" s="99" t="s">
        <v>6348</v>
      </c>
    </row>
    <row r="23">
      <c r="A23" s="103" t="s">
        <v>6349</v>
      </c>
      <c r="B23" s="99" t="s">
        <v>6350</v>
      </c>
      <c r="C23" s="99" t="s">
        <v>6350</v>
      </c>
    </row>
    <row r="24">
      <c r="A24" s="103" t="s">
        <v>6351</v>
      </c>
      <c r="B24" s="99" t="s">
        <v>6352</v>
      </c>
      <c r="C24" s="99" t="s">
        <v>6352</v>
      </c>
    </row>
    <row r="25">
      <c r="A25" s="103" t="s">
        <v>6353</v>
      </c>
      <c r="B25" s="99" t="s">
        <v>6354</v>
      </c>
      <c r="C25" s="99" t="s">
        <v>6354</v>
      </c>
    </row>
    <row r="26">
      <c r="A26" s="103" t="s">
        <v>6355</v>
      </c>
      <c r="B26" s="99" t="s">
        <v>6356</v>
      </c>
      <c r="C26" s="99" t="s">
        <v>6356</v>
      </c>
    </row>
    <row r="27">
      <c r="A27" s="103" t="s">
        <v>6357</v>
      </c>
      <c r="B27" s="99" t="s">
        <v>6358</v>
      </c>
      <c r="C27" s="99" t="s">
        <v>6358</v>
      </c>
    </row>
    <row r="28">
      <c r="A28" s="103" t="s">
        <v>6359</v>
      </c>
      <c r="B28" s="99" t="s">
        <v>6360</v>
      </c>
      <c r="C28" s="99" t="s">
        <v>6360</v>
      </c>
    </row>
    <row r="29">
      <c r="A29" s="103" t="s">
        <v>6361</v>
      </c>
      <c r="B29" s="99" t="s">
        <v>6362</v>
      </c>
      <c r="C29" s="99" t="s">
        <v>6362</v>
      </c>
    </row>
    <row r="30">
      <c r="A30" s="103" t="s">
        <v>6363</v>
      </c>
      <c r="B30" s="99" t="s">
        <v>6364</v>
      </c>
      <c r="C30" s="99" t="s">
        <v>6364</v>
      </c>
    </row>
    <row r="31">
      <c r="A31" s="103" t="s">
        <v>6365</v>
      </c>
      <c r="B31" s="99" t="s">
        <v>6366</v>
      </c>
      <c r="C31" s="99" t="s">
        <v>6366</v>
      </c>
    </row>
    <row r="32">
      <c r="A32" s="103" t="s">
        <v>6367</v>
      </c>
      <c r="B32" s="99" t="s">
        <v>6368</v>
      </c>
      <c r="C32" s="99" t="s">
        <v>6368</v>
      </c>
    </row>
    <row r="33">
      <c r="A33" s="103" t="s">
        <v>6369</v>
      </c>
      <c r="B33" s="99" t="s">
        <v>6370</v>
      </c>
      <c r="C33" s="99" t="s">
        <v>6370</v>
      </c>
    </row>
    <row r="34">
      <c r="A34" s="103" t="s">
        <v>6371</v>
      </c>
      <c r="B34" s="99" t="s">
        <v>6372</v>
      </c>
      <c r="C34" s="99" t="s">
        <v>6372</v>
      </c>
    </row>
    <row r="35">
      <c r="A35" s="103" t="s">
        <v>6373</v>
      </c>
      <c r="B35" s="99" t="s">
        <v>6374</v>
      </c>
      <c r="C35" s="99" t="s">
        <v>6374</v>
      </c>
    </row>
    <row r="36">
      <c r="A36" s="103" t="s">
        <v>6375</v>
      </c>
      <c r="B36" s="99" t="s">
        <v>6376</v>
      </c>
      <c r="C36" s="99" t="s">
        <v>6376</v>
      </c>
    </row>
    <row r="37">
      <c r="A37" s="103" t="s">
        <v>6377</v>
      </c>
      <c r="B37" s="99" t="s">
        <v>6378</v>
      </c>
      <c r="C37" s="99" t="s">
        <v>6378</v>
      </c>
    </row>
    <row r="38">
      <c r="A38" s="103" t="s">
        <v>6379</v>
      </c>
      <c r="B38" s="99" t="s">
        <v>6380</v>
      </c>
      <c r="C38" s="99" t="s">
        <v>6380</v>
      </c>
    </row>
    <row r="39">
      <c r="A39" s="103" t="s">
        <v>6381</v>
      </c>
      <c r="B39" s="99" t="s">
        <v>6382</v>
      </c>
      <c r="C39" s="99" t="s">
        <v>6382</v>
      </c>
    </row>
    <row r="40">
      <c r="A40" s="103" t="s">
        <v>6383</v>
      </c>
      <c r="B40" s="99" t="s">
        <v>6384</v>
      </c>
      <c r="C40" s="99" t="s">
        <v>6384</v>
      </c>
    </row>
    <row r="41">
      <c r="A41" s="103" t="s">
        <v>6385</v>
      </c>
      <c r="B41" s="99" t="s">
        <v>6386</v>
      </c>
      <c r="C41" s="99" t="s">
        <v>6386</v>
      </c>
    </row>
    <row r="42">
      <c r="A42" s="103" t="s">
        <v>6387</v>
      </c>
      <c r="B42" s="99" t="s">
        <v>6388</v>
      </c>
      <c r="C42" s="99" t="s">
        <v>6388</v>
      </c>
    </row>
    <row r="43">
      <c r="A43" s="103" t="s">
        <v>6389</v>
      </c>
      <c r="B43" s="99" t="s">
        <v>6390</v>
      </c>
      <c r="C43" s="99" t="s">
        <v>6390</v>
      </c>
    </row>
    <row r="44">
      <c r="A44" s="103" t="s">
        <v>6391</v>
      </c>
      <c r="B44" s="99" t="s">
        <v>6392</v>
      </c>
      <c r="C44" s="99" t="s">
        <v>6392</v>
      </c>
    </row>
    <row r="45">
      <c r="A45" s="103" t="s">
        <v>6393</v>
      </c>
      <c r="B45" s="99" t="s">
        <v>6394</v>
      </c>
      <c r="C45" s="99" t="s">
        <v>6394</v>
      </c>
    </row>
    <row r="46">
      <c r="A46" s="103" t="s">
        <v>6395</v>
      </c>
      <c r="B46" s="99" t="s">
        <v>6396</v>
      </c>
      <c r="C46" s="99" t="s">
        <v>6396</v>
      </c>
    </row>
    <row r="47">
      <c r="A47" s="103" t="s">
        <v>6397</v>
      </c>
      <c r="B47" s="99" t="s">
        <v>6398</v>
      </c>
      <c r="C47" s="99" t="s">
        <v>6398</v>
      </c>
    </row>
    <row r="48">
      <c r="A48" s="103" t="s">
        <v>6399</v>
      </c>
      <c r="B48" s="99" t="s">
        <v>6400</v>
      </c>
      <c r="C48" s="99" t="s">
        <v>6400</v>
      </c>
    </row>
    <row r="49">
      <c r="A49" s="103" t="s">
        <v>6401</v>
      </c>
      <c r="B49" s="99" t="s">
        <v>6402</v>
      </c>
      <c r="C49" s="99" t="s">
        <v>6402</v>
      </c>
    </row>
    <row r="50">
      <c r="A50" s="103" t="s">
        <v>6403</v>
      </c>
      <c r="B50" s="99" t="s">
        <v>6404</v>
      </c>
      <c r="C50" s="99" t="s">
        <v>6404</v>
      </c>
    </row>
    <row r="51">
      <c r="A51" s="103" t="s">
        <v>6405</v>
      </c>
      <c r="B51" s="99" t="s">
        <v>6406</v>
      </c>
      <c r="C51" s="99" t="s">
        <v>6406</v>
      </c>
    </row>
    <row r="52">
      <c r="A52" s="103" t="s">
        <v>6407</v>
      </c>
      <c r="B52" s="99" t="s">
        <v>6408</v>
      </c>
      <c r="C52" s="99" t="s">
        <v>6408</v>
      </c>
    </row>
    <row r="53">
      <c r="A53" s="103" t="s">
        <v>6325</v>
      </c>
      <c r="B53" s="99" t="s">
        <v>6409</v>
      </c>
      <c r="C53" s="99" t="s">
        <v>6409</v>
      </c>
    </row>
    <row r="54">
      <c r="A54" s="103" t="s">
        <v>6329</v>
      </c>
      <c r="B54" s="99" t="s">
        <v>6410</v>
      </c>
      <c r="C54" s="99" t="s">
        <v>6410</v>
      </c>
    </row>
    <row r="55">
      <c r="A55" s="103" t="s">
        <v>6401</v>
      </c>
      <c r="B55" s="99" t="s">
        <v>6411</v>
      </c>
      <c r="C55" s="99" t="s">
        <v>6411</v>
      </c>
    </row>
    <row r="56">
      <c r="A56" s="103" t="s">
        <v>6412</v>
      </c>
      <c r="B56" s="99" t="s">
        <v>6413</v>
      </c>
      <c r="C56" s="99" t="s">
        <v>6413</v>
      </c>
    </row>
    <row r="57">
      <c r="A57" s="103" t="s">
        <v>6414</v>
      </c>
      <c r="B57" s="99" t="s">
        <v>6415</v>
      </c>
      <c r="C57" s="99" t="s">
        <v>6415</v>
      </c>
    </row>
    <row r="58">
      <c r="A58" s="103" t="s">
        <v>6416</v>
      </c>
      <c r="B58" s="99" t="s">
        <v>6417</v>
      </c>
      <c r="C58" s="99" t="s">
        <v>6417</v>
      </c>
    </row>
    <row r="59">
      <c r="A59" s="103" t="s">
        <v>6418</v>
      </c>
      <c r="B59" s="99" t="s">
        <v>6419</v>
      </c>
      <c r="C59" s="99" t="s">
        <v>6419</v>
      </c>
    </row>
    <row r="60">
      <c r="A60" s="103" t="s">
        <v>6420</v>
      </c>
      <c r="B60" s="99" t="s">
        <v>6421</v>
      </c>
      <c r="C60" s="99" t="s">
        <v>6421</v>
      </c>
    </row>
    <row r="61">
      <c r="A61" s="103" t="s">
        <v>6422</v>
      </c>
      <c r="B61" s="99" t="s">
        <v>6423</v>
      </c>
      <c r="C61" s="99" t="s">
        <v>6423</v>
      </c>
    </row>
    <row r="62">
      <c r="A62" s="103" t="s">
        <v>6424</v>
      </c>
      <c r="B62" s="99" t="s">
        <v>6425</v>
      </c>
      <c r="C62" s="99" t="s">
        <v>6425</v>
      </c>
    </row>
    <row r="63">
      <c r="A63" s="103" t="s">
        <v>6426</v>
      </c>
      <c r="B63" s="99" t="s">
        <v>6427</v>
      </c>
      <c r="C63" s="99" t="s">
        <v>6427</v>
      </c>
    </row>
    <row r="64">
      <c r="A64" s="103" t="s">
        <v>6428</v>
      </c>
      <c r="B64" s="99" t="s">
        <v>6429</v>
      </c>
      <c r="C64" s="99" t="s">
        <v>6429</v>
      </c>
    </row>
    <row r="65">
      <c r="A65" s="103" t="s">
        <v>6430</v>
      </c>
      <c r="B65" s="99" t="s">
        <v>6431</v>
      </c>
      <c r="C65" s="99" t="s">
        <v>6431</v>
      </c>
    </row>
    <row r="66">
      <c r="A66" s="103" t="s">
        <v>6432</v>
      </c>
      <c r="B66" s="99" t="s">
        <v>6433</v>
      </c>
      <c r="C66" s="99" t="s">
        <v>6433</v>
      </c>
    </row>
    <row r="67">
      <c r="A67" s="103" t="s">
        <v>6434</v>
      </c>
      <c r="B67" s="99" t="s">
        <v>6435</v>
      </c>
      <c r="C67" s="99" t="s">
        <v>6435</v>
      </c>
    </row>
    <row r="68">
      <c r="A68" s="103" t="s">
        <v>6436</v>
      </c>
      <c r="B68" s="99" t="s">
        <v>6437</v>
      </c>
      <c r="C68" s="99" t="s">
        <v>6437</v>
      </c>
    </row>
    <row r="69">
      <c r="A69" s="103" t="s">
        <v>6438</v>
      </c>
      <c r="B69" s="99" t="s">
        <v>6439</v>
      </c>
      <c r="C69" s="99" t="s">
        <v>6439</v>
      </c>
    </row>
    <row r="70">
      <c r="A70" s="103" t="s">
        <v>6440</v>
      </c>
      <c r="B70" s="99" t="s">
        <v>6441</v>
      </c>
      <c r="C70" s="99" t="s">
        <v>6441</v>
      </c>
    </row>
    <row r="71">
      <c r="A71" s="103" t="s">
        <v>6442</v>
      </c>
      <c r="B71" s="99" t="s">
        <v>6443</v>
      </c>
      <c r="C71" s="99" t="s">
        <v>6443</v>
      </c>
    </row>
    <row r="72">
      <c r="A72" s="103" t="s">
        <v>6444</v>
      </c>
      <c r="B72" s="99" t="s">
        <v>6445</v>
      </c>
      <c r="C72" s="99" t="s">
        <v>6445</v>
      </c>
    </row>
    <row r="73">
      <c r="A73" s="103" t="s">
        <v>6446</v>
      </c>
      <c r="B73" s="99" t="s">
        <v>6447</v>
      </c>
      <c r="C73" s="99" t="s">
        <v>6447</v>
      </c>
    </row>
    <row r="74">
      <c r="A74" s="103" t="s">
        <v>6448</v>
      </c>
      <c r="B74" s="99" t="s">
        <v>6449</v>
      </c>
      <c r="C74" s="99" t="s">
        <v>6449</v>
      </c>
    </row>
    <row r="75">
      <c r="A75" s="103" t="s">
        <v>6450</v>
      </c>
      <c r="B75" s="99" t="s">
        <v>6451</v>
      </c>
      <c r="C75" s="99" t="s">
        <v>6451</v>
      </c>
    </row>
    <row r="76">
      <c r="A76" s="103" t="s">
        <v>6452</v>
      </c>
      <c r="B76" s="99" t="s">
        <v>6453</v>
      </c>
      <c r="C76" s="99" t="s">
        <v>6453</v>
      </c>
    </row>
    <row r="77">
      <c r="A77" s="103" t="s">
        <v>6454</v>
      </c>
      <c r="B77" s="99" t="s">
        <v>6455</v>
      </c>
      <c r="C77" s="99" t="s">
        <v>6455</v>
      </c>
    </row>
    <row r="78">
      <c r="A78" s="103" t="s">
        <v>6456</v>
      </c>
      <c r="B78" s="99" t="s">
        <v>6457</v>
      </c>
      <c r="C78" s="99" t="s">
        <v>6457</v>
      </c>
    </row>
    <row r="79">
      <c r="A79" s="103" t="s">
        <v>6458</v>
      </c>
      <c r="B79" s="99" t="s">
        <v>6459</v>
      </c>
      <c r="C79" s="99" t="s">
        <v>6459</v>
      </c>
    </row>
    <row r="80">
      <c r="A80" s="103" t="s">
        <v>6460</v>
      </c>
      <c r="B80" s="99" t="s">
        <v>6461</v>
      </c>
      <c r="C80" s="99" t="s">
        <v>6461</v>
      </c>
    </row>
    <row r="81">
      <c r="A81" s="103" t="s">
        <v>6462</v>
      </c>
      <c r="B81" s="99" t="s">
        <v>6463</v>
      </c>
      <c r="C81" s="99" t="s">
        <v>6463</v>
      </c>
    </row>
    <row r="82">
      <c r="A82" s="103" t="s">
        <v>6464</v>
      </c>
      <c r="B82" s="99" t="s">
        <v>6465</v>
      </c>
      <c r="C82" s="99" t="s">
        <v>6465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</cols>
  <sheetData>
    <row r="1">
      <c r="A1" s="78" t="s">
        <v>6119</v>
      </c>
      <c r="B1" s="95" t="s">
        <v>11</v>
      </c>
      <c r="C1" s="78" t="s">
        <v>12</v>
      </c>
    </row>
    <row r="2">
      <c r="A2" s="78" t="s">
        <v>6466</v>
      </c>
      <c r="B2" s="95" t="s">
        <v>6123</v>
      </c>
      <c r="C2" s="95" t="s">
        <v>6123</v>
      </c>
    </row>
    <row r="3">
      <c r="A3" s="78" t="s">
        <v>6467</v>
      </c>
      <c r="B3" s="95" t="s">
        <v>6127</v>
      </c>
      <c r="C3" s="95" t="s">
        <v>6127</v>
      </c>
    </row>
    <row r="4">
      <c r="B4" s="95"/>
      <c r="C4" s="95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88"/>
    <col customWidth="1" min="3" max="3" width="12.88"/>
  </cols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6468</v>
      </c>
      <c r="B2" s="97" t="s">
        <v>6469</v>
      </c>
      <c r="C2" s="97" t="s">
        <v>6469</v>
      </c>
    </row>
    <row r="3">
      <c r="A3" s="103" t="s">
        <v>6470</v>
      </c>
      <c r="B3" s="99" t="s">
        <v>6471</v>
      </c>
      <c r="C3" s="99" t="s">
        <v>6471</v>
      </c>
    </row>
    <row r="4">
      <c r="A4" s="103" t="s">
        <v>6472</v>
      </c>
      <c r="B4" s="99" t="s">
        <v>6473</v>
      </c>
      <c r="C4" s="99" t="s">
        <v>6473</v>
      </c>
    </row>
    <row r="5">
      <c r="A5" s="103" t="s">
        <v>6474</v>
      </c>
      <c r="B5" s="99" t="s">
        <v>6475</v>
      </c>
      <c r="C5" s="99" t="s">
        <v>6475</v>
      </c>
    </row>
    <row r="6">
      <c r="A6" s="103" t="s">
        <v>6476</v>
      </c>
      <c r="B6" s="99" t="s">
        <v>6477</v>
      </c>
      <c r="C6" s="99" t="s">
        <v>6477</v>
      </c>
    </row>
    <row r="7">
      <c r="A7" s="103" t="s">
        <v>6478</v>
      </c>
      <c r="B7" s="99" t="s">
        <v>6479</v>
      </c>
      <c r="C7" s="99" t="s">
        <v>6479</v>
      </c>
    </row>
    <row r="8">
      <c r="A8" s="103" t="s">
        <v>6480</v>
      </c>
      <c r="B8" s="99" t="s">
        <v>6481</v>
      </c>
      <c r="C8" s="99" t="s">
        <v>6481</v>
      </c>
    </row>
    <row r="9">
      <c r="A9" s="103" t="s">
        <v>6482</v>
      </c>
      <c r="B9" s="99" t="s">
        <v>6483</v>
      </c>
      <c r="C9" s="99" t="s">
        <v>6483</v>
      </c>
    </row>
    <row r="10">
      <c r="A10" s="103" t="s">
        <v>6484</v>
      </c>
      <c r="B10" s="99" t="s">
        <v>6485</v>
      </c>
      <c r="C10" s="99" t="s">
        <v>6485</v>
      </c>
    </row>
    <row r="11">
      <c r="A11" s="103" t="s">
        <v>6486</v>
      </c>
      <c r="B11" s="99" t="s">
        <v>6346</v>
      </c>
      <c r="C11" s="99" t="s">
        <v>6346</v>
      </c>
    </row>
    <row r="12">
      <c r="A12" s="103" t="s">
        <v>6487</v>
      </c>
      <c r="B12" s="99" t="s">
        <v>6488</v>
      </c>
      <c r="C12" s="99" t="s">
        <v>6488</v>
      </c>
    </row>
    <row r="13">
      <c r="A13" s="103" t="s">
        <v>6489</v>
      </c>
      <c r="B13" s="99" t="s">
        <v>6490</v>
      </c>
      <c r="C13" s="99" t="s">
        <v>6490</v>
      </c>
    </row>
    <row r="14">
      <c r="A14" s="103" t="s">
        <v>6491</v>
      </c>
      <c r="B14" s="99" t="s">
        <v>6368</v>
      </c>
      <c r="C14" s="99" t="s">
        <v>6368</v>
      </c>
    </row>
    <row r="15">
      <c r="A15" s="103" t="s">
        <v>6492</v>
      </c>
      <c r="B15" s="99" t="s">
        <v>6493</v>
      </c>
      <c r="C15" s="99" t="s">
        <v>6493</v>
      </c>
    </row>
    <row r="16">
      <c r="A16" s="103" t="s">
        <v>2656</v>
      </c>
      <c r="B16" s="99" t="s">
        <v>6370</v>
      </c>
      <c r="C16" s="99" t="s">
        <v>6370</v>
      </c>
    </row>
    <row r="17">
      <c r="A17" s="103" t="s">
        <v>6494</v>
      </c>
      <c r="B17" s="99" t="s">
        <v>6495</v>
      </c>
      <c r="C17" s="99" t="s">
        <v>6495</v>
      </c>
    </row>
    <row r="18">
      <c r="A18" s="103" t="s">
        <v>6496</v>
      </c>
      <c r="B18" s="99" t="s">
        <v>6497</v>
      </c>
      <c r="C18" s="99" t="s">
        <v>6497</v>
      </c>
    </row>
    <row r="19">
      <c r="A19" s="103" t="s">
        <v>6498</v>
      </c>
      <c r="B19" s="99" t="s">
        <v>6499</v>
      </c>
      <c r="C19" s="99" t="s">
        <v>6499</v>
      </c>
    </row>
    <row r="20">
      <c r="A20" s="103" t="s">
        <v>6500</v>
      </c>
      <c r="B20" s="99" t="s">
        <v>6501</v>
      </c>
      <c r="C20" s="99" t="s">
        <v>6501</v>
      </c>
    </row>
    <row r="21">
      <c r="A21" s="103" t="s">
        <v>6502</v>
      </c>
      <c r="B21" s="99" t="s">
        <v>6503</v>
      </c>
      <c r="C21" s="99" t="s">
        <v>6503</v>
      </c>
    </row>
    <row r="22">
      <c r="A22" s="103" t="s">
        <v>6504</v>
      </c>
      <c r="B22" s="99" t="s">
        <v>6505</v>
      </c>
      <c r="C22" s="99" t="s">
        <v>6505</v>
      </c>
    </row>
    <row r="23">
      <c r="A23" s="103" t="s">
        <v>6506</v>
      </c>
      <c r="B23" s="99" t="s">
        <v>6441</v>
      </c>
      <c r="C23" s="99" t="s">
        <v>6441</v>
      </c>
    </row>
    <row r="24">
      <c r="A24" s="103" t="s">
        <v>6507</v>
      </c>
      <c r="B24" s="99" t="s">
        <v>6465</v>
      </c>
      <c r="C24" s="99" t="s">
        <v>6465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" width="11.5"/>
  </cols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6508</v>
      </c>
      <c r="B2" s="101"/>
      <c r="C2" s="97" t="s">
        <v>6312</v>
      </c>
    </row>
    <row r="3">
      <c r="A3" s="103" t="s">
        <v>6509</v>
      </c>
      <c r="B3" s="101"/>
      <c r="C3" s="99" t="s">
        <v>6314</v>
      </c>
    </row>
    <row r="4">
      <c r="A4" s="103" t="s">
        <v>6510</v>
      </c>
      <c r="B4" s="101"/>
      <c r="C4" s="99" t="s">
        <v>6511</v>
      </c>
    </row>
    <row r="5">
      <c r="A5" s="103" t="s">
        <v>6512</v>
      </c>
      <c r="B5" s="101"/>
      <c r="C5" s="99" t="s">
        <v>6316</v>
      </c>
    </row>
    <row r="6">
      <c r="A6" s="103" t="s">
        <v>6513</v>
      </c>
      <c r="B6" s="101"/>
      <c r="C6" s="99" t="s">
        <v>6318</v>
      </c>
    </row>
    <row r="7">
      <c r="A7" s="103" t="s">
        <v>6514</v>
      </c>
      <c r="B7" s="101"/>
      <c r="C7" s="99" t="s">
        <v>6515</v>
      </c>
    </row>
    <row r="8">
      <c r="A8" s="102" t="s">
        <v>6516</v>
      </c>
      <c r="B8" s="97" t="s">
        <v>6481</v>
      </c>
      <c r="C8" s="99" t="s">
        <v>6481</v>
      </c>
    </row>
    <row r="9">
      <c r="A9" s="103" t="s">
        <v>6517</v>
      </c>
      <c r="B9" s="99" t="s">
        <v>6483</v>
      </c>
      <c r="C9" s="99" t="s">
        <v>6483</v>
      </c>
    </row>
    <row r="10">
      <c r="A10" s="103" t="s">
        <v>6518</v>
      </c>
      <c r="B10" s="99" t="s">
        <v>6485</v>
      </c>
      <c r="C10" s="99" t="s">
        <v>6485</v>
      </c>
    </row>
    <row r="11">
      <c r="A11" s="103" t="s">
        <v>6519</v>
      </c>
      <c r="B11" s="99" t="s">
        <v>6346</v>
      </c>
      <c r="C11" s="99" t="s">
        <v>6346</v>
      </c>
    </row>
    <row r="12">
      <c r="A12" s="103" t="s">
        <v>6520</v>
      </c>
      <c r="B12" s="99" t="s">
        <v>6488</v>
      </c>
      <c r="C12" s="99" t="s">
        <v>6488</v>
      </c>
    </row>
    <row r="13">
      <c r="A13" s="103" t="s">
        <v>6521</v>
      </c>
      <c r="B13" s="99" t="s">
        <v>6522</v>
      </c>
      <c r="C13" s="99" t="s">
        <v>6522</v>
      </c>
    </row>
    <row r="14">
      <c r="A14" s="103" t="s">
        <v>6523</v>
      </c>
      <c r="B14" s="99" t="s">
        <v>6368</v>
      </c>
      <c r="C14" s="99" t="s">
        <v>6368</v>
      </c>
    </row>
    <row r="15">
      <c r="A15" s="103" t="s">
        <v>6524</v>
      </c>
      <c r="B15" s="99" t="s">
        <v>6493</v>
      </c>
      <c r="C15" s="99" t="s">
        <v>6493</v>
      </c>
    </row>
    <row r="16">
      <c r="A16" s="103" t="s">
        <v>6525</v>
      </c>
      <c r="B16" s="99" t="s">
        <v>6370</v>
      </c>
      <c r="C16" s="99" t="s">
        <v>6370</v>
      </c>
    </row>
    <row r="17">
      <c r="A17" s="103" t="s">
        <v>6526</v>
      </c>
      <c r="B17" s="99" t="s">
        <v>6527</v>
      </c>
      <c r="C17" s="99" t="s">
        <v>6527</v>
      </c>
    </row>
    <row r="18">
      <c r="A18" s="103" t="s">
        <v>6528</v>
      </c>
      <c r="B18" s="99" t="s">
        <v>6529</v>
      </c>
      <c r="C18" s="99" t="s">
        <v>6529</v>
      </c>
    </row>
    <row r="19">
      <c r="A19" s="103" t="s">
        <v>6530</v>
      </c>
      <c r="B19" s="99" t="s">
        <v>6531</v>
      </c>
      <c r="C19" s="99" t="s">
        <v>6531</v>
      </c>
    </row>
    <row r="20">
      <c r="A20" s="103" t="s">
        <v>6532</v>
      </c>
      <c r="B20" s="99" t="s">
        <v>6533</v>
      </c>
      <c r="C20" s="99" t="s">
        <v>6533</v>
      </c>
    </row>
    <row r="21">
      <c r="A21" s="103" t="s">
        <v>6534</v>
      </c>
      <c r="B21" s="99" t="s">
        <v>6535</v>
      </c>
      <c r="C21" s="99" t="s">
        <v>6535</v>
      </c>
    </row>
    <row r="22">
      <c r="A22" s="103" t="s">
        <v>6536</v>
      </c>
      <c r="B22" s="99" t="s">
        <v>6537</v>
      </c>
      <c r="C22" s="99" t="s">
        <v>6537</v>
      </c>
    </row>
    <row r="23">
      <c r="A23" s="103" t="s">
        <v>6538</v>
      </c>
      <c r="B23" s="99" t="s">
        <v>6539</v>
      </c>
      <c r="C23" s="99" t="s">
        <v>6539</v>
      </c>
    </row>
    <row r="24">
      <c r="A24" s="103" t="s">
        <v>6540</v>
      </c>
      <c r="B24" s="99" t="s">
        <v>6541</v>
      </c>
      <c r="C24" s="99" t="s">
        <v>6541</v>
      </c>
    </row>
    <row r="25">
      <c r="A25" s="103" t="s">
        <v>6542</v>
      </c>
      <c r="B25" s="99" t="s">
        <v>6495</v>
      </c>
      <c r="C25" s="99" t="s">
        <v>6495</v>
      </c>
    </row>
    <row r="26">
      <c r="A26" s="103" t="s">
        <v>6543</v>
      </c>
      <c r="B26" s="99" t="s">
        <v>6497</v>
      </c>
      <c r="C26" s="99" t="s">
        <v>6497</v>
      </c>
    </row>
    <row r="27">
      <c r="A27" s="103" t="s">
        <v>6544</v>
      </c>
      <c r="B27" s="99" t="s">
        <v>6499</v>
      </c>
      <c r="C27" s="99" t="s">
        <v>6499</v>
      </c>
    </row>
    <row r="28">
      <c r="A28" s="103" t="s">
        <v>6545</v>
      </c>
      <c r="B28" s="99" t="s">
        <v>6546</v>
      </c>
      <c r="C28" s="99" t="s">
        <v>6546</v>
      </c>
    </row>
    <row r="29">
      <c r="A29" s="103" t="s">
        <v>6547</v>
      </c>
      <c r="B29" s="99" t="s">
        <v>6548</v>
      </c>
      <c r="C29" s="99" t="s">
        <v>6548</v>
      </c>
    </row>
    <row r="30">
      <c r="A30" s="103" t="s">
        <v>6549</v>
      </c>
      <c r="B30" s="99" t="s">
        <v>6501</v>
      </c>
      <c r="C30" s="99" t="s">
        <v>6501</v>
      </c>
    </row>
    <row r="31">
      <c r="A31" s="103" t="s">
        <v>6550</v>
      </c>
      <c r="B31" s="99" t="s">
        <v>6503</v>
      </c>
      <c r="C31" s="99" t="s">
        <v>6503</v>
      </c>
    </row>
    <row r="32">
      <c r="A32" s="103" t="s">
        <v>6551</v>
      </c>
      <c r="B32" s="99" t="s">
        <v>6552</v>
      </c>
      <c r="C32" s="99" t="s">
        <v>6552</v>
      </c>
    </row>
    <row r="33">
      <c r="A33" s="103" t="s">
        <v>6553</v>
      </c>
      <c r="B33" s="99" t="s">
        <v>6554</v>
      </c>
      <c r="C33" s="99" t="s">
        <v>6554</v>
      </c>
    </row>
    <row r="34">
      <c r="A34" s="103" t="s">
        <v>6555</v>
      </c>
      <c r="B34" s="99" t="s">
        <v>6505</v>
      </c>
      <c r="C34" s="99" t="s">
        <v>6505</v>
      </c>
    </row>
    <row r="35">
      <c r="A35" s="103" t="s">
        <v>6556</v>
      </c>
      <c r="B35" s="99" t="s">
        <v>6557</v>
      </c>
      <c r="C35" s="99" t="s">
        <v>6557</v>
      </c>
    </row>
    <row r="36">
      <c r="A36" s="103" t="s">
        <v>6558</v>
      </c>
      <c r="B36" s="99" t="s">
        <v>6559</v>
      </c>
      <c r="C36" s="99" t="s">
        <v>6559</v>
      </c>
    </row>
    <row r="37">
      <c r="A37" s="103" t="s">
        <v>6560</v>
      </c>
      <c r="B37" s="99" t="s">
        <v>6561</v>
      </c>
      <c r="C37" s="99" t="s">
        <v>6561</v>
      </c>
    </row>
    <row r="38">
      <c r="A38" s="103" t="s">
        <v>6562</v>
      </c>
      <c r="B38" s="99" t="s">
        <v>6563</v>
      </c>
      <c r="C38" s="99" t="s">
        <v>6563</v>
      </c>
    </row>
    <row r="39">
      <c r="A39" s="103" t="s">
        <v>6564</v>
      </c>
      <c r="B39" s="99" t="s">
        <v>6565</v>
      </c>
      <c r="C39" s="99" t="s">
        <v>6565</v>
      </c>
    </row>
    <row r="40">
      <c r="A40" s="103" t="s">
        <v>6566</v>
      </c>
      <c r="B40" s="99" t="s">
        <v>6406</v>
      </c>
      <c r="C40" s="99" t="s">
        <v>6406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6567</v>
      </c>
      <c r="B2" s="97" t="s">
        <v>6124</v>
      </c>
      <c r="C2" s="97" t="s">
        <v>6124</v>
      </c>
    </row>
    <row r="3">
      <c r="A3" s="103" t="s">
        <v>6568</v>
      </c>
      <c r="B3" s="99" t="s">
        <v>6123</v>
      </c>
      <c r="C3" s="99" t="s">
        <v>6123</v>
      </c>
    </row>
    <row r="4">
      <c r="A4" s="103" t="s">
        <v>6569</v>
      </c>
      <c r="B4" s="99" t="s">
        <v>6127</v>
      </c>
      <c r="C4" s="99" t="s">
        <v>6127</v>
      </c>
    </row>
    <row r="5">
      <c r="A5" s="103" t="s">
        <v>6570</v>
      </c>
      <c r="B5" s="99" t="s">
        <v>6130</v>
      </c>
      <c r="C5" s="99" t="s">
        <v>6130</v>
      </c>
    </row>
    <row r="6">
      <c r="A6" s="103" t="s">
        <v>6571</v>
      </c>
      <c r="B6" s="99" t="s">
        <v>6145</v>
      </c>
      <c r="C6" s="99" t="s">
        <v>6145</v>
      </c>
    </row>
    <row r="7">
      <c r="A7" s="103" t="s">
        <v>6572</v>
      </c>
      <c r="B7" s="99" t="s">
        <v>6184</v>
      </c>
      <c r="C7" s="99" t="s">
        <v>6184</v>
      </c>
    </row>
    <row r="8">
      <c r="A8" s="103" t="s">
        <v>6573</v>
      </c>
      <c r="B8" s="99" t="s">
        <v>6186</v>
      </c>
      <c r="C8" s="99" t="s">
        <v>6186</v>
      </c>
    </row>
    <row r="9">
      <c r="A9" s="103" t="s">
        <v>6574</v>
      </c>
      <c r="B9" s="99" t="s">
        <v>6188</v>
      </c>
      <c r="C9" s="99" t="s">
        <v>6188</v>
      </c>
    </row>
    <row r="10">
      <c r="A10" s="103" t="s">
        <v>6575</v>
      </c>
      <c r="B10" s="99" t="s">
        <v>6189</v>
      </c>
      <c r="C10" s="99" t="s">
        <v>6189</v>
      </c>
    </row>
    <row r="11">
      <c r="A11" s="103" t="s">
        <v>6305</v>
      </c>
      <c r="B11" s="99" t="s">
        <v>6194</v>
      </c>
      <c r="C11" s="99" t="s">
        <v>6194</v>
      </c>
    </row>
    <row r="12">
      <c r="A12" s="103"/>
      <c r="B12" s="99"/>
    </row>
    <row r="13">
      <c r="A13" s="103"/>
      <c r="B13" s="9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6576</v>
      </c>
      <c r="B2" s="97" t="s">
        <v>6577</v>
      </c>
    </row>
    <row r="3">
      <c r="A3" s="103" t="s">
        <v>6578</v>
      </c>
      <c r="B3" s="99" t="s">
        <v>6579</v>
      </c>
    </row>
    <row r="4">
      <c r="A4" s="103" t="s">
        <v>6580</v>
      </c>
      <c r="B4" s="99" t="s">
        <v>6581</v>
      </c>
    </row>
    <row r="5">
      <c r="A5" s="103" t="s">
        <v>6582</v>
      </c>
      <c r="B5" s="99" t="s">
        <v>6583</v>
      </c>
    </row>
    <row r="6">
      <c r="A6" s="103" t="s">
        <v>6568</v>
      </c>
      <c r="B6" s="99" t="s">
        <v>6584</v>
      </c>
    </row>
    <row r="7">
      <c r="A7" s="103" t="s">
        <v>6305</v>
      </c>
      <c r="B7" s="99" t="s">
        <v>6585</v>
      </c>
    </row>
    <row r="8">
      <c r="A8" s="102" t="s">
        <v>6576</v>
      </c>
      <c r="B8" s="104" t="s">
        <v>6123</v>
      </c>
      <c r="C8" s="97" t="s">
        <v>6123</v>
      </c>
    </row>
    <row r="9">
      <c r="A9" s="103" t="s">
        <v>6578</v>
      </c>
      <c r="B9" s="105" t="s">
        <v>6127</v>
      </c>
      <c r="C9" s="99" t="s">
        <v>6127</v>
      </c>
    </row>
    <row r="10">
      <c r="A10" s="103" t="s">
        <v>6580</v>
      </c>
      <c r="B10" s="105" t="s">
        <v>6130</v>
      </c>
      <c r="C10" s="99" t="s">
        <v>6130</v>
      </c>
    </row>
    <row r="11">
      <c r="A11" s="103" t="s">
        <v>6582</v>
      </c>
      <c r="B11" s="105" t="s">
        <v>6145</v>
      </c>
      <c r="C11" s="99" t="s">
        <v>6145</v>
      </c>
    </row>
    <row r="12">
      <c r="A12" s="103" t="s">
        <v>6568</v>
      </c>
      <c r="B12" s="105" t="s">
        <v>6184</v>
      </c>
      <c r="C12" s="99" t="s">
        <v>6184</v>
      </c>
    </row>
    <row r="13">
      <c r="A13" s="103" t="s">
        <v>6586</v>
      </c>
      <c r="B13" s="105"/>
      <c r="C13" s="99" t="s">
        <v>6186</v>
      </c>
    </row>
    <row r="14">
      <c r="A14" s="103" t="s">
        <v>6305</v>
      </c>
      <c r="B14" s="105" t="s">
        <v>6194</v>
      </c>
      <c r="C14" s="99" t="s">
        <v>6194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6587</v>
      </c>
      <c r="B2" s="97" t="s">
        <v>6577</v>
      </c>
    </row>
    <row r="3">
      <c r="A3" s="103" t="s">
        <v>6588</v>
      </c>
      <c r="B3" s="99" t="s">
        <v>6579</v>
      </c>
    </row>
    <row r="4">
      <c r="A4" s="103" t="s">
        <v>6587</v>
      </c>
      <c r="B4" s="99" t="s">
        <v>6123</v>
      </c>
      <c r="C4" s="97" t="s">
        <v>6123</v>
      </c>
    </row>
    <row r="5">
      <c r="A5" s="103" t="s">
        <v>6588</v>
      </c>
      <c r="B5" s="99" t="s">
        <v>6127</v>
      </c>
      <c r="C5" s="99" t="s">
        <v>6127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102" t="s">
        <v>6589</v>
      </c>
      <c r="B2" s="97" t="s">
        <v>6577</v>
      </c>
    </row>
    <row r="3">
      <c r="A3" s="103" t="s">
        <v>6590</v>
      </c>
      <c r="B3" s="99" t="s">
        <v>6579</v>
      </c>
    </row>
    <row r="4">
      <c r="A4" s="103" t="s">
        <v>6305</v>
      </c>
      <c r="B4" s="99" t="s">
        <v>6585</v>
      </c>
    </row>
    <row r="5">
      <c r="A5" s="103" t="s">
        <v>6589</v>
      </c>
      <c r="B5" s="99" t="s">
        <v>6123</v>
      </c>
      <c r="C5" s="97" t="s">
        <v>6123</v>
      </c>
    </row>
    <row r="6">
      <c r="A6" s="103" t="s">
        <v>6590</v>
      </c>
      <c r="B6" s="99" t="s">
        <v>6127</v>
      </c>
      <c r="C6" s="99" t="s">
        <v>6127</v>
      </c>
    </row>
    <row r="7">
      <c r="A7" s="103" t="s">
        <v>6305</v>
      </c>
      <c r="B7" s="99" t="s">
        <v>6194</v>
      </c>
      <c r="C7" s="99" t="s">
        <v>6194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3.13"/>
    <col customWidth="1" min="3" max="3" width="3.5"/>
  </cols>
  <sheetData>
    <row r="1">
      <c r="A1" s="78" t="s">
        <v>6119</v>
      </c>
      <c r="B1" s="95" t="s">
        <v>11</v>
      </c>
      <c r="C1" s="95" t="s">
        <v>12</v>
      </c>
    </row>
    <row r="2">
      <c r="A2" s="106" t="s">
        <v>6591</v>
      </c>
      <c r="B2" s="104" t="s">
        <v>6124</v>
      </c>
      <c r="C2" s="95" t="s">
        <v>6124</v>
      </c>
    </row>
    <row r="3">
      <c r="A3" s="107" t="s">
        <v>6592</v>
      </c>
      <c r="B3" s="105" t="s">
        <v>6123</v>
      </c>
      <c r="C3" s="95" t="s">
        <v>6123</v>
      </c>
    </row>
    <row r="4">
      <c r="A4" s="107" t="s">
        <v>6593</v>
      </c>
      <c r="B4" s="105" t="s">
        <v>6127</v>
      </c>
      <c r="C4" s="95" t="s">
        <v>6127</v>
      </c>
    </row>
    <row r="5">
      <c r="A5" s="107" t="s">
        <v>6594</v>
      </c>
      <c r="B5" s="105" t="s">
        <v>6130</v>
      </c>
      <c r="C5" s="104" t="s">
        <v>6130</v>
      </c>
    </row>
    <row r="6">
      <c r="A6" s="107" t="s">
        <v>6595</v>
      </c>
      <c r="B6" s="105" t="s">
        <v>6145</v>
      </c>
      <c r="C6" s="105" t="s">
        <v>6145</v>
      </c>
    </row>
    <row r="7">
      <c r="A7" s="107" t="s">
        <v>6596</v>
      </c>
      <c r="B7" s="105" t="s">
        <v>6184</v>
      </c>
      <c r="C7" s="105" t="s">
        <v>6184</v>
      </c>
    </row>
    <row r="8">
      <c r="A8" s="78" t="s">
        <v>6597</v>
      </c>
      <c r="B8" s="96"/>
      <c r="C8" s="95" t="s">
        <v>6186</v>
      </c>
    </row>
    <row r="9">
      <c r="B9" s="96"/>
      <c r="C9" s="96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5"/>
    <col customWidth="1" min="2" max="2" width="3.13"/>
    <col customWidth="1" min="3" max="3" width="3.5"/>
  </cols>
  <sheetData>
    <row r="1">
      <c r="A1" s="78" t="s">
        <v>6119</v>
      </c>
      <c r="B1" s="95" t="s">
        <v>11</v>
      </c>
      <c r="C1" s="95" t="s">
        <v>12</v>
      </c>
    </row>
    <row r="2">
      <c r="A2" s="106" t="s">
        <v>6598</v>
      </c>
      <c r="B2" s="105"/>
      <c r="C2" s="95" t="s">
        <v>6123</v>
      </c>
    </row>
    <row r="3">
      <c r="A3" s="107" t="s">
        <v>6599</v>
      </c>
      <c r="B3" s="105"/>
      <c r="C3" s="95" t="s">
        <v>6127</v>
      </c>
    </row>
    <row r="4">
      <c r="A4" s="107" t="s">
        <v>2671</v>
      </c>
      <c r="B4" s="105"/>
      <c r="C4" s="104" t="s">
        <v>6194</v>
      </c>
    </row>
    <row r="5">
      <c r="B5" s="96"/>
      <c r="C5" s="96"/>
    </row>
    <row r="6">
      <c r="B6" s="96"/>
      <c r="C6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6134</v>
      </c>
      <c r="B3" s="95" t="s">
        <v>6127</v>
      </c>
      <c r="C3" s="95" t="s">
        <v>6127</v>
      </c>
      <c r="D3" s="95" t="s">
        <v>6127</v>
      </c>
      <c r="E3" s="95" t="s">
        <v>6127</v>
      </c>
    </row>
    <row r="4">
      <c r="A4" s="78" t="s">
        <v>6135</v>
      </c>
      <c r="B4" s="95" t="s">
        <v>6130</v>
      </c>
      <c r="C4" s="95" t="s">
        <v>6130</v>
      </c>
      <c r="D4" s="95" t="s">
        <v>6130</v>
      </c>
      <c r="E4" s="95" t="s">
        <v>6130</v>
      </c>
    </row>
    <row r="5">
      <c r="B5" s="96"/>
      <c r="C5" s="96"/>
      <c r="D5" s="96"/>
    </row>
    <row r="6">
      <c r="B6" s="96"/>
      <c r="C6" s="96"/>
      <c r="D6" s="96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0"/>
    <col customWidth="1" min="2" max="2" width="3.13"/>
    <col customWidth="1" min="3" max="3" width="3.5"/>
  </cols>
  <sheetData>
    <row r="1">
      <c r="A1" s="78" t="s">
        <v>6119</v>
      </c>
      <c r="B1" s="95" t="s">
        <v>11</v>
      </c>
      <c r="C1" s="95" t="s">
        <v>12</v>
      </c>
    </row>
    <row r="2">
      <c r="A2" s="106" t="s">
        <v>2641</v>
      </c>
      <c r="B2" s="105"/>
      <c r="C2" s="95" t="s">
        <v>6123</v>
      </c>
    </row>
    <row r="3">
      <c r="A3" s="107" t="s">
        <v>2646</v>
      </c>
      <c r="B3" s="105"/>
      <c r="C3" s="95" t="s">
        <v>6127</v>
      </c>
    </row>
    <row r="4">
      <c r="A4" s="107" t="s">
        <v>6600</v>
      </c>
      <c r="B4" s="105"/>
      <c r="C4" s="104" t="s">
        <v>6130</v>
      </c>
    </row>
    <row r="5">
      <c r="A5" s="107" t="s">
        <v>2656</v>
      </c>
      <c r="B5" s="105"/>
      <c r="C5" s="105" t="s">
        <v>6145</v>
      </c>
    </row>
    <row r="6">
      <c r="A6" s="107" t="s">
        <v>6601</v>
      </c>
      <c r="B6" s="105"/>
      <c r="C6" s="105" t="s">
        <v>6184</v>
      </c>
    </row>
    <row r="7">
      <c r="A7" s="78" t="s">
        <v>6602</v>
      </c>
      <c r="C7" s="95" t="s">
        <v>6186</v>
      </c>
    </row>
    <row r="8">
      <c r="A8" s="78" t="s">
        <v>6603</v>
      </c>
      <c r="C8" s="95" t="s">
        <v>6188</v>
      </c>
    </row>
    <row r="9">
      <c r="A9" s="78" t="s">
        <v>2671</v>
      </c>
      <c r="C9" s="95" t="s">
        <v>6194</v>
      </c>
    </row>
    <row r="10">
      <c r="B10" s="96"/>
      <c r="C10" s="96"/>
    </row>
    <row r="11">
      <c r="B11" s="96"/>
      <c r="C11" s="96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6604</v>
      </c>
      <c r="B2" s="98" t="s">
        <v>6226</v>
      </c>
      <c r="C2" s="98" t="s">
        <v>6226</v>
      </c>
    </row>
    <row r="3">
      <c r="A3" s="108" t="s">
        <v>6605</v>
      </c>
      <c r="B3" s="100" t="s">
        <v>6228</v>
      </c>
      <c r="C3" s="100" t="s">
        <v>6228</v>
      </c>
    </row>
    <row r="4">
      <c r="A4" s="95" t="s">
        <v>6606</v>
      </c>
      <c r="B4" s="100" t="s">
        <v>6230</v>
      </c>
      <c r="C4" s="100" t="s">
        <v>6230</v>
      </c>
    </row>
    <row r="5">
      <c r="A5" s="95" t="s">
        <v>6607</v>
      </c>
      <c r="B5" s="100" t="s">
        <v>6232</v>
      </c>
      <c r="C5" s="100" t="s">
        <v>6232</v>
      </c>
    </row>
    <row r="6">
      <c r="A6" s="95" t="s">
        <v>6608</v>
      </c>
      <c r="B6" s="100" t="s">
        <v>6234</v>
      </c>
      <c r="C6" s="100" t="s">
        <v>6234</v>
      </c>
    </row>
    <row r="7">
      <c r="A7" s="95" t="s">
        <v>6609</v>
      </c>
      <c r="B7" s="100" t="s">
        <v>6236</v>
      </c>
      <c r="C7" s="100" t="s">
        <v>6236</v>
      </c>
    </row>
    <row r="8">
      <c r="A8" s="95" t="s">
        <v>6610</v>
      </c>
      <c r="B8" s="100" t="s">
        <v>6238</v>
      </c>
      <c r="C8" s="100" t="s">
        <v>6238</v>
      </c>
    </row>
    <row r="9">
      <c r="A9" s="95" t="s">
        <v>6611</v>
      </c>
      <c r="B9" s="100" t="s">
        <v>6240</v>
      </c>
      <c r="C9" s="100" t="s">
        <v>6240</v>
      </c>
    </row>
    <row r="10">
      <c r="A10" s="95" t="s">
        <v>6612</v>
      </c>
      <c r="B10" s="100" t="s">
        <v>6242</v>
      </c>
      <c r="C10" s="100" t="s">
        <v>6242</v>
      </c>
    </row>
    <row r="11">
      <c r="A11" s="95" t="s">
        <v>6613</v>
      </c>
      <c r="B11" s="100" t="s">
        <v>6614</v>
      </c>
      <c r="C11" s="100" t="s">
        <v>6614</v>
      </c>
    </row>
    <row r="12">
      <c r="A12" s="95" t="s">
        <v>6615</v>
      </c>
      <c r="B12" s="100" t="s">
        <v>6616</v>
      </c>
      <c r="C12" s="100" t="s">
        <v>6616</v>
      </c>
    </row>
    <row r="13">
      <c r="A13" s="95" t="s">
        <v>6617</v>
      </c>
      <c r="B13" s="100" t="s">
        <v>6618</v>
      </c>
      <c r="C13" s="100" t="s">
        <v>6618</v>
      </c>
    </row>
    <row r="14">
      <c r="A14" s="95" t="s">
        <v>6619</v>
      </c>
      <c r="B14" s="100" t="s">
        <v>6620</v>
      </c>
      <c r="C14" s="100" t="s">
        <v>6620</v>
      </c>
    </row>
    <row r="15">
      <c r="A15" s="95" t="s">
        <v>6621</v>
      </c>
      <c r="B15" s="100" t="s">
        <v>6622</v>
      </c>
      <c r="C15" s="100" t="s">
        <v>6622</v>
      </c>
    </row>
    <row r="16">
      <c r="A16" s="95" t="s">
        <v>6623</v>
      </c>
      <c r="B16" s="100" t="s">
        <v>6624</v>
      </c>
      <c r="C16" s="100" t="s">
        <v>6624</v>
      </c>
    </row>
    <row r="17">
      <c r="A17" s="95" t="s">
        <v>6625</v>
      </c>
      <c r="B17" s="100" t="s">
        <v>6626</v>
      </c>
      <c r="C17" s="100" t="s">
        <v>6626</v>
      </c>
    </row>
    <row r="18">
      <c r="A18" s="95" t="s">
        <v>6627</v>
      </c>
      <c r="B18" s="100" t="s">
        <v>6628</v>
      </c>
      <c r="C18" s="100" t="s">
        <v>6628</v>
      </c>
    </row>
    <row r="19">
      <c r="A19" s="95" t="s">
        <v>6629</v>
      </c>
      <c r="B19" s="100" t="s">
        <v>6630</v>
      </c>
      <c r="C19" s="100" t="s">
        <v>6630</v>
      </c>
    </row>
    <row r="20">
      <c r="A20" s="95" t="s">
        <v>6631</v>
      </c>
      <c r="B20" s="100" t="s">
        <v>6632</v>
      </c>
      <c r="C20" s="100" t="s">
        <v>6632</v>
      </c>
    </row>
    <row r="21">
      <c r="A21" s="95" t="s">
        <v>6633</v>
      </c>
      <c r="B21" s="100" t="s">
        <v>6244</v>
      </c>
      <c r="C21" s="100" t="s">
        <v>6244</v>
      </c>
    </row>
    <row r="22">
      <c r="A22" s="95" t="s">
        <v>6634</v>
      </c>
      <c r="B22" s="100" t="s">
        <v>6246</v>
      </c>
      <c r="C22" s="100" t="s">
        <v>6246</v>
      </c>
    </row>
    <row r="23">
      <c r="A23" s="95" t="s">
        <v>3425</v>
      </c>
      <c r="B23" s="100" t="s">
        <v>6248</v>
      </c>
      <c r="C23" s="100" t="s">
        <v>6248</v>
      </c>
    </row>
    <row r="24">
      <c r="A24" s="95" t="s">
        <v>3378</v>
      </c>
      <c r="B24" s="100" t="s">
        <v>6250</v>
      </c>
      <c r="C24" s="100" t="s">
        <v>6250</v>
      </c>
    </row>
    <row r="25">
      <c r="A25" s="95" t="s">
        <v>6635</v>
      </c>
      <c r="B25" s="100" t="s">
        <v>6252</v>
      </c>
      <c r="C25" s="100" t="s">
        <v>6252</v>
      </c>
    </row>
    <row r="26">
      <c r="A26" s="95" t="s">
        <v>6636</v>
      </c>
      <c r="B26" s="100" t="s">
        <v>6254</v>
      </c>
      <c r="C26" s="100" t="s">
        <v>6254</v>
      </c>
    </row>
    <row r="27">
      <c r="A27" s="95" t="s">
        <v>2671</v>
      </c>
      <c r="B27" s="100" t="s">
        <v>6256</v>
      </c>
      <c r="C27" s="100" t="s">
        <v>6256</v>
      </c>
    </row>
    <row r="28">
      <c r="A28" s="95" t="s">
        <v>3627</v>
      </c>
      <c r="B28" s="100" t="s">
        <v>6258</v>
      </c>
      <c r="C28" s="100" t="s">
        <v>6258</v>
      </c>
    </row>
    <row r="29">
      <c r="A29" s="95"/>
      <c r="B29" s="95"/>
      <c r="C29" s="95"/>
    </row>
    <row r="30">
      <c r="A30" s="95"/>
      <c r="B30" s="95"/>
      <c r="C30" s="95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</cols>
  <sheetData>
    <row r="1">
      <c r="A1" s="95" t="s">
        <v>6119</v>
      </c>
      <c r="B1" s="95" t="s">
        <v>11</v>
      </c>
      <c r="C1" s="95" t="s">
        <v>12</v>
      </c>
    </row>
    <row r="2">
      <c r="A2" s="108"/>
      <c r="B2" s="104"/>
      <c r="C2" s="104"/>
    </row>
    <row r="3">
      <c r="A3" s="108"/>
      <c r="B3" s="105"/>
      <c r="C3" s="105"/>
    </row>
    <row r="4">
      <c r="A4" s="95"/>
      <c r="B4" s="100"/>
      <c r="C4" s="10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6637</v>
      </c>
      <c r="B2" s="104"/>
      <c r="C2" s="104" t="s">
        <v>6638</v>
      </c>
    </row>
    <row r="3">
      <c r="A3" s="108" t="s">
        <v>6637</v>
      </c>
      <c r="B3" s="105"/>
      <c r="C3" s="78">
        <v>1.0</v>
      </c>
    </row>
    <row r="4">
      <c r="A4" s="108" t="s">
        <v>6639</v>
      </c>
      <c r="B4" s="105"/>
      <c r="C4" s="78" t="s">
        <v>6640</v>
      </c>
    </row>
    <row r="5">
      <c r="A5" s="108" t="s">
        <v>6639</v>
      </c>
      <c r="B5" s="100"/>
      <c r="C5" s="105" t="s">
        <v>6127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6641</v>
      </c>
      <c r="B2" s="105"/>
      <c r="C2" s="78" t="s">
        <v>6642</v>
      </c>
    </row>
    <row r="3">
      <c r="A3" s="108" t="s">
        <v>6643</v>
      </c>
      <c r="B3" s="105"/>
      <c r="C3" s="78" t="s">
        <v>6644</v>
      </c>
    </row>
    <row r="4">
      <c r="A4" s="108" t="s">
        <v>6643</v>
      </c>
      <c r="B4" s="100"/>
      <c r="C4" s="105" t="s">
        <v>6127</v>
      </c>
    </row>
    <row r="5">
      <c r="A5" s="78" t="s">
        <v>6305</v>
      </c>
      <c r="C5" s="78" t="s">
        <v>6645</v>
      </c>
    </row>
    <row r="6">
      <c r="A6" s="78" t="s">
        <v>6305</v>
      </c>
      <c r="C6" s="78">
        <v>3.0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6646</v>
      </c>
      <c r="B2" s="78" t="s">
        <v>6647</v>
      </c>
      <c r="C2" s="78" t="s">
        <v>6647</v>
      </c>
    </row>
    <row r="3">
      <c r="A3" s="108" t="s">
        <v>6646</v>
      </c>
      <c r="B3" s="105" t="s">
        <v>6123</v>
      </c>
      <c r="C3" s="105" t="s">
        <v>6123</v>
      </c>
    </row>
    <row r="4">
      <c r="A4" s="95" t="s">
        <v>6648</v>
      </c>
      <c r="B4" s="78" t="s">
        <v>6649</v>
      </c>
      <c r="C4" s="78" t="s">
        <v>6649</v>
      </c>
    </row>
    <row r="5">
      <c r="A5" s="95" t="s">
        <v>6648</v>
      </c>
      <c r="B5" s="78">
        <v>2.0</v>
      </c>
      <c r="C5" s="78">
        <v>2.0</v>
      </c>
    </row>
    <row r="6">
      <c r="A6" s="95"/>
    </row>
    <row r="13">
      <c r="A13" s="78"/>
      <c r="C13" s="78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6646</v>
      </c>
      <c r="B2" s="78" t="s">
        <v>6647</v>
      </c>
      <c r="C2" s="78" t="s">
        <v>6647</v>
      </c>
    </row>
    <row r="3">
      <c r="A3" s="108" t="s">
        <v>6646</v>
      </c>
      <c r="B3" s="105" t="s">
        <v>6123</v>
      </c>
      <c r="C3" s="105" t="s">
        <v>6123</v>
      </c>
    </row>
    <row r="4">
      <c r="A4" s="95" t="s">
        <v>6648</v>
      </c>
      <c r="B4" s="78" t="s">
        <v>6649</v>
      </c>
      <c r="C4" s="78" t="s">
        <v>6649</v>
      </c>
    </row>
    <row r="5">
      <c r="A5" s="95" t="s">
        <v>6648</v>
      </c>
      <c r="B5" s="78">
        <v>2.0</v>
      </c>
      <c r="C5" s="78">
        <v>2.0</v>
      </c>
    </row>
    <row r="6">
      <c r="A6" s="95"/>
    </row>
    <row r="7">
      <c r="A7" s="78" t="s">
        <v>6650</v>
      </c>
      <c r="C7" s="78" t="s">
        <v>6651</v>
      </c>
    </row>
    <row r="8">
      <c r="A8" s="78" t="s">
        <v>6650</v>
      </c>
      <c r="C8" s="78" t="s">
        <v>6650</v>
      </c>
    </row>
    <row r="9">
      <c r="A9" s="78" t="s">
        <v>6652</v>
      </c>
      <c r="C9" s="78" t="s">
        <v>6652</v>
      </c>
    </row>
    <row r="10">
      <c r="A10" s="78" t="s">
        <v>6652</v>
      </c>
      <c r="C10" s="78" t="s">
        <v>6653</v>
      </c>
    </row>
    <row r="11">
      <c r="A11" s="78" t="s">
        <v>6654</v>
      </c>
      <c r="B11" s="78" t="s">
        <v>6655</v>
      </c>
      <c r="C11" s="78" t="s">
        <v>6656</v>
      </c>
    </row>
    <row r="12">
      <c r="A12" s="78" t="s">
        <v>6657</v>
      </c>
      <c r="B12" s="78" t="s">
        <v>6657</v>
      </c>
    </row>
    <row r="13">
      <c r="A13" s="78" t="s">
        <v>6658</v>
      </c>
      <c r="B13" s="78" t="s">
        <v>6658</v>
      </c>
    </row>
    <row r="16">
      <c r="A16" s="78"/>
      <c r="C16" s="7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6659</v>
      </c>
      <c r="B2" s="108" t="s">
        <v>6124</v>
      </c>
      <c r="C2" s="104" t="s">
        <v>6660</v>
      </c>
      <c r="D2" s="104" t="s">
        <v>6660</v>
      </c>
    </row>
    <row r="3">
      <c r="A3" s="108" t="s">
        <v>6659</v>
      </c>
      <c r="B3" s="109" t="s">
        <v>6124</v>
      </c>
      <c r="C3" s="105" t="s">
        <v>6123</v>
      </c>
      <c r="D3" s="105" t="s">
        <v>6123</v>
      </c>
    </row>
    <row r="4">
      <c r="A4" s="108" t="s">
        <v>6659</v>
      </c>
      <c r="B4" s="109" t="s">
        <v>6124</v>
      </c>
      <c r="C4" s="78" t="s">
        <v>6661</v>
      </c>
      <c r="D4" s="78" t="s">
        <v>6661</v>
      </c>
    </row>
    <row r="5">
      <c r="A5" s="108" t="s">
        <v>6659</v>
      </c>
      <c r="B5" s="109" t="s">
        <v>6124</v>
      </c>
      <c r="C5" s="78" t="s">
        <v>6662</v>
      </c>
      <c r="D5" s="78" t="s">
        <v>6662</v>
      </c>
    </row>
    <row r="6">
      <c r="A6" s="95" t="s">
        <v>6663</v>
      </c>
      <c r="B6" s="109" t="s">
        <v>6123</v>
      </c>
      <c r="C6" s="105" t="s">
        <v>6664</v>
      </c>
    </row>
    <row r="7">
      <c r="A7" s="95" t="s">
        <v>6663</v>
      </c>
      <c r="B7" s="78">
        <v>1.0</v>
      </c>
      <c r="C7" s="78" t="s">
        <v>6665</v>
      </c>
      <c r="D7" s="105" t="s">
        <v>6665</v>
      </c>
    </row>
    <row r="8">
      <c r="A8" s="95" t="s">
        <v>6663</v>
      </c>
      <c r="B8" s="78">
        <v>1.0</v>
      </c>
      <c r="C8" s="78">
        <v>2.0</v>
      </c>
      <c r="D8" s="78">
        <v>2.0</v>
      </c>
    </row>
    <row r="9">
      <c r="A9" s="95" t="s">
        <v>6663</v>
      </c>
      <c r="B9" s="78">
        <v>1.0</v>
      </c>
      <c r="C9" s="78" t="s">
        <v>6666</v>
      </c>
      <c r="D9" s="78" t="s">
        <v>6666</v>
      </c>
    </row>
    <row r="10">
      <c r="A10" s="78" t="s">
        <v>6667</v>
      </c>
      <c r="B10" s="78">
        <v>2.0</v>
      </c>
      <c r="C10" s="78" t="s">
        <v>6668</v>
      </c>
      <c r="D10" s="78" t="s">
        <v>6668</v>
      </c>
    </row>
    <row r="11">
      <c r="A11" s="78" t="s">
        <v>6667</v>
      </c>
      <c r="B11" s="78">
        <v>2.0</v>
      </c>
      <c r="C11" s="78">
        <v>3.0</v>
      </c>
      <c r="D11" s="78">
        <v>3.0</v>
      </c>
    </row>
    <row r="12">
      <c r="A12" s="78" t="s">
        <v>6669</v>
      </c>
      <c r="B12" s="78">
        <v>3.0</v>
      </c>
      <c r="C12" s="78" t="s">
        <v>6670</v>
      </c>
      <c r="D12" s="78" t="s">
        <v>6670</v>
      </c>
    </row>
    <row r="13">
      <c r="A13" s="78" t="s">
        <v>6669</v>
      </c>
      <c r="B13" s="78">
        <v>3.0</v>
      </c>
      <c r="C13" s="78">
        <v>4.0</v>
      </c>
      <c r="D13" s="78">
        <v>4.0</v>
      </c>
    </row>
    <row r="14">
      <c r="A14" s="78" t="s">
        <v>6671</v>
      </c>
      <c r="B14" s="78">
        <v>4.0</v>
      </c>
      <c r="D14" s="78" t="s">
        <v>6672</v>
      </c>
    </row>
    <row r="15">
      <c r="A15" s="78" t="s">
        <v>6671</v>
      </c>
      <c r="B15" s="78">
        <v>4.0</v>
      </c>
      <c r="D15" s="78">
        <v>5.0</v>
      </c>
    </row>
    <row r="16">
      <c r="A16" s="78"/>
      <c r="B16" s="78"/>
      <c r="D16" s="7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6659</v>
      </c>
      <c r="B2" s="109" t="s">
        <v>6124</v>
      </c>
      <c r="C2" s="78" t="s">
        <v>6661</v>
      </c>
      <c r="D2" s="78" t="s">
        <v>6661</v>
      </c>
    </row>
    <row r="3">
      <c r="A3" s="108" t="s">
        <v>6659</v>
      </c>
      <c r="B3" s="109" t="s">
        <v>6124</v>
      </c>
      <c r="C3" s="105" t="s">
        <v>6123</v>
      </c>
      <c r="D3" s="105" t="s">
        <v>6123</v>
      </c>
    </row>
    <row r="4">
      <c r="A4" s="95" t="s">
        <v>6673</v>
      </c>
      <c r="B4" s="109" t="s">
        <v>6123</v>
      </c>
      <c r="C4" s="105" t="s">
        <v>6664</v>
      </c>
      <c r="D4" s="78" t="s">
        <v>6664</v>
      </c>
    </row>
    <row r="5">
      <c r="A5" s="95" t="s">
        <v>6673</v>
      </c>
      <c r="B5" s="78">
        <v>1.0</v>
      </c>
      <c r="C5" s="78">
        <v>2.0</v>
      </c>
      <c r="D5" s="78">
        <v>2.0</v>
      </c>
    </row>
    <row r="6">
      <c r="A6" s="78" t="s">
        <v>6674</v>
      </c>
      <c r="B6" s="78">
        <v>2.0</v>
      </c>
      <c r="C6" s="78" t="s">
        <v>6675</v>
      </c>
      <c r="D6" s="78" t="s">
        <v>6675</v>
      </c>
    </row>
    <row r="7">
      <c r="A7" s="78" t="s">
        <v>6674</v>
      </c>
      <c r="B7" s="78">
        <v>2.0</v>
      </c>
      <c r="C7" s="78">
        <v>3.0</v>
      </c>
      <c r="D7" s="78">
        <v>3.0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95" t="s">
        <v>6676</v>
      </c>
      <c r="B2" s="78">
        <v>0.0</v>
      </c>
      <c r="C2" s="78"/>
      <c r="D2" s="78">
        <v>4.0</v>
      </c>
    </row>
    <row r="3">
      <c r="A3" s="95" t="s">
        <v>6663</v>
      </c>
      <c r="B3" s="78">
        <v>1.0</v>
      </c>
      <c r="C3" s="78" t="s">
        <v>6677</v>
      </c>
      <c r="D3" s="78" t="s">
        <v>6677</v>
      </c>
    </row>
    <row r="4">
      <c r="A4" s="95" t="s">
        <v>6663</v>
      </c>
      <c r="B4" s="78">
        <v>1.0</v>
      </c>
      <c r="C4" s="78">
        <v>1.0</v>
      </c>
      <c r="D4" s="78">
        <v>1.0</v>
      </c>
    </row>
    <row r="5">
      <c r="A5" s="78" t="s">
        <v>6667</v>
      </c>
      <c r="B5" s="78">
        <v>2.0</v>
      </c>
      <c r="C5" s="78" t="s">
        <v>6678</v>
      </c>
      <c r="D5" s="78" t="s">
        <v>6678</v>
      </c>
    </row>
    <row r="6">
      <c r="A6" s="78" t="s">
        <v>6667</v>
      </c>
      <c r="B6" s="78">
        <v>2.0</v>
      </c>
      <c r="C6" s="78">
        <v>2.0</v>
      </c>
      <c r="D6" s="78">
        <v>2.0</v>
      </c>
    </row>
    <row r="7">
      <c r="A7" s="78" t="s">
        <v>6669</v>
      </c>
      <c r="B7" s="78">
        <v>3.0</v>
      </c>
      <c r="C7" s="78" t="s">
        <v>6679</v>
      </c>
      <c r="D7" s="78" t="s">
        <v>6679</v>
      </c>
    </row>
    <row r="8">
      <c r="A8" s="78" t="s">
        <v>6669</v>
      </c>
      <c r="B8" s="78">
        <v>3.0</v>
      </c>
      <c r="C8" s="78">
        <v>3.0</v>
      </c>
      <c r="D8" s="78">
        <v>3.0</v>
      </c>
    </row>
    <row r="9">
      <c r="A9" s="78"/>
      <c r="B9" s="78"/>
      <c r="D9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5.13"/>
    <col customWidth="1" min="3" max="3" width="5.38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6136</v>
      </c>
      <c r="B3" s="95" t="s">
        <v>6127</v>
      </c>
      <c r="C3" s="95" t="s">
        <v>6127</v>
      </c>
      <c r="D3" s="95" t="s">
        <v>6127</v>
      </c>
      <c r="E3" s="95" t="s">
        <v>6127</v>
      </c>
    </row>
    <row r="4">
      <c r="A4" s="78" t="s">
        <v>6137</v>
      </c>
      <c r="B4" s="95" t="s">
        <v>6130</v>
      </c>
      <c r="C4" s="95" t="s">
        <v>6130</v>
      </c>
      <c r="D4" s="95" t="s">
        <v>6130</v>
      </c>
      <c r="E4" s="95" t="s">
        <v>6130</v>
      </c>
    </row>
    <row r="5">
      <c r="B5" s="96"/>
      <c r="C5" s="96"/>
      <c r="D5" s="96"/>
    </row>
    <row r="6">
      <c r="B6" s="96"/>
      <c r="C6" s="96"/>
      <c r="D6" s="96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0" t="s">
        <v>6124</v>
      </c>
      <c r="B2" s="105" t="s">
        <v>6124</v>
      </c>
      <c r="C2" s="105" t="s">
        <v>6680</v>
      </c>
      <c r="D2" s="110" t="s">
        <v>6681</v>
      </c>
    </row>
    <row r="3">
      <c r="A3" s="105" t="s">
        <v>6124</v>
      </c>
      <c r="B3" s="105" t="s">
        <v>6124</v>
      </c>
      <c r="C3" s="105" t="s">
        <v>6123</v>
      </c>
      <c r="D3" s="105" t="s">
        <v>6124</v>
      </c>
    </row>
    <row r="4">
      <c r="A4" s="100" t="s">
        <v>6682</v>
      </c>
      <c r="B4" s="105" t="s">
        <v>6123</v>
      </c>
      <c r="C4" s="105" t="s">
        <v>6683</v>
      </c>
      <c r="D4" s="105" t="s">
        <v>6684</v>
      </c>
    </row>
    <row r="5">
      <c r="A5" s="105" t="s">
        <v>6682</v>
      </c>
      <c r="B5" s="105" t="s">
        <v>6123</v>
      </c>
      <c r="C5" s="105" t="s">
        <v>6127</v>
      </c>
      <c r="D5" s="105" t="s">
        <v>6682</v>
      </c>
    </row>
    <row r="6">
      <c r="A6" s="105" t="s">
        <v>6682</v>
      </c>
      <c r="B6" s="105" t="s">
        <v>6123</v>
      </c>
      <c r="C6" s="105"/>
      <c r="D6" s="111" t="s">
        <v>6685</v>
      </c>
    </row>
    <row r="7">
      <c r="A7" s="98" t="s">
        <v>6686</v>
      </c>
      <c r="B7" s="104" t="s">
        <v>6687</v>
      </c>
      <c r="C7" s="104" t="s">
        <v>6688</v>
      </c>
      <c r="D7" s="104" t="s">
        <v>6689</v>
      </c>
    </row>
    <row r="8">
      <c r="A8" s="105" t="s">
        <v>6686</v>
      </c>
      <c r="B8" s="105" t="s">
        <v>6687</v>
      </c>
      <c r="C8" s="105" t="s">
        <v>6130</v>
      </c>
      <c r="D8" s="105" t="s">
        <v>6686</v>
      </c>
    </row>
    <row r="9">
      <c r="A9" s="105" t="s">
        <v>6686</v>
      </c>
      <c r="B9" s="105" t="s">
        <v>6687</v>
      </c>
      <c r="C9" s="105"/>
      <c r="D9" s="111" t="s">
        <v>6690</v>
      </c>
    </row>
    <row r="10">
      <c r="A10" s="100" t="s">
        <v>6691</v>
      </c>
      <c r="B10" s="105" t="s">
        <v>6127</v>
      </c>
      <c r="C10" s="105" t="s">
        <v>6692</v>
      </c>
      <c r="D10" s="105" t="s">
        <v>6693</v>
      </c>
    </row>
    <row r="11">
      <c r="A11" s="105" t="s">
        <v>6691</v>
      </c>
      <c r="B11" s="105" t="s">
        <v>6127</v>
      </c>
      <c r="C11" s="105" t="s">
        <v>6145</v>
      </c>
      <c r="D11" s="105" t="s">
        <v>6694</v>
      </c>
    </row>
    <row r="12">
      <c r="A12" s="105" t="s">
        <v>6691</v>
      </c>
      <c r="B12" s="105" t="s">
        <v>6127</v>
      </c>
      <c r="C12" s="105"/>
      <c r="D12" s="105" t="s">
        <v>6695</v>
      </c>
    </row>
    <row r="13">
      <c r="A13" s="105" t="s">
        <v>6691</v>
      </c>
      <c r="B13" s="105" t="s">
        <v>6127</v>
      </c>
      <c r="C13" s="105"/>
      <c r="D13" s="105" t="s">
        <v>6696</v>
      </c>
    </row>
    <row r="14">
      <c r="A14" s="105" t="s">
        <v>6691</v>
      </c>
      <c r="B14" s="105" t="s">
        <v>6127</v>
      </c>
      <c r="C14" s="105"/>
      <c r="D14" s="105" t="s">
        <v>6697</v>
      </c>
    </row>
    <row r="15">
      <c r="A15" s="105" t="s">
        <v>6691</v>
      </c>
      <c r="B15" s="105" t="s">
        <v>6127</v>
      </c>
      <c r="C15" s="105"/>
      <c r="D15" s="105" t="s">
        <v>6698</v>
      </c>
    </row>
    <row r="16">
      <c r="A16" s="105" t="s">
        <v>6691</v>
      </c>
      <c r="B16" s="105" t="s">
        <v>6127</v>
      </c>
      <c r="C16" s="105"/>
      <c r="D16" s="111" t="s">
        <v>6699</v>
      </c>
    </row>
    <row r="17">
      <c r="A17" s="105" t="s">
        <v>6691</v>
      </c>
      <c r="B17" s="105" t="s">
        <v>6127</v>
      </c>
      <c r="C17" s="105"/>
      <c r="D17" s="111" t="s">
        <v>6700</v>
      </c>
    </row>
    <row r="18">
      <c r="A18" s="105" t="s">
        <v>6691</v>
      </c>
      <c r="B18" s="105" t="s">
        <v>6127</v>
      </c>
      <c r="C18" s="105"/>
      <c r="D18" s="111" t="s">
        <v>6701</v>
      </c>
    </row>
    <row r="19">
      <c r="A19" s="100" t="s">
        <v>6702</v>
      </c>
      <c r="B19" s="105" t="s">
        <v>6703</v>
      </c>
      <c r="C19" s="105" t="s">
        <v>6704</v>
      </c>
      <c r="D19" s="105" t="s">
        <v>6705</v>
      </c>
    </row>
    <row r="20">
      <c r="A20" s="105" t="s">
        <v>6702</v>
      </c>
      <c r="B20" s="105" t="s">
        <v>6703</v>
      </c>
      <c r="C20" s="105" t="s">
        <v>6184</v>
      </c>
      <c r="D20" s="105" t="s">
        <v>6706</v>
      </c>
    </row>
    <row r="21">
      <c r="A21" s="105" t="s">
        <v>6702</v>
      </c>
      <c r="B21" s="105" t="s">
        <v>6703</v>
      </c>
      <c r="C21" s="105"/>
      <c r="D21" s="105" t="s">
        <v>6707</v>
      </c>
    </row>
    <row r="22">
      <c r="A22" s="105" t="s">
        <v>6702</v>
      </c>
      <c r="B22" s="105" t="s">
        <v>6703</v>
      </c>
      <c r="C22" s="105"/>
      <c r="D22" s="105" t="s">
        <v>6708</v>
      </c>
    </row>
    <row r="23">
      <c r="A23" s="105" t="s">
        <v>6702</v>
      </c>
      <c r="B23" s="105" t="s">
        <v>6703</v>
      </c>
      <c r="C23" s="105"/>
      <c r="D23" s="105" t="s">
        <v>6709</v>
      </c>
    </row>
    <row r="24">
      <c r="A24" s="105" t="s">
        <v>6702</v>
      </c>
      <c r="B24" s="105" t="s">
        <v>6703</v>
      </c>
      <c r="C24" s="105"/>
      <c r="D24" s="105" t="s">
        <v>6710</v>
      </c>
    </row>
    <row r="25">
      <c r="A25" s="105" t="s">
        <v>6702</v>
      </c>
      <c r="B25" s="105" t="s">
        <v>6703</v>
      </c>
      <c r="C25" s="105"/>
      <c r="D25" s="111" t="s">
        <v>6711</v>
      </c>
    </row>
    <row r="26">
      <c r="A26" s="105" t="s">
        <v>6702</v>
      </c>
      <c r="B26" s="105" t="s">
        <v>6703</v>
      </c>
      <c r="C26" s="105"/>
      <c r="D26" s="111" t="s">
        <v>6712</v>
      </c>
    </row>
    <row r="27">
      <c r="A27" s="105" t="s">
        <v>6702</v>
      </c>
      <c r="B27" s="105" t="s">
        <v>6703</v>
      </c>
      <c r="C27" s="105"/>
      <c r="D27" s="111" t="s">
        <v>6713</v>
      </c>
    </row>
    <row r="28">
      <c r="A28" s="100" t="s">
        <v>6130</v>
      </c>
      <c r="B28" s="105" t="s">
        <v>6130</v>
      </c>
      <c r="C28" s="105" t="s">
        <v>6714</v>
      </c>
      <c r="D28" s="105" t="s">
        <v>6715</v>
      </c>
    </row>
    <row r="29">
      <c r="A29" s="95" t="s">
        <v>6130</v>
      </c>
      <c r="B29" s="95" t="s">
        <v>6130</v>
      </c>
      <c r="C29" s="95" t="s">
        <v>6186</v>
      </c>
      <c r="D29" s="95" t="s">
        <v>6130</v>
      </c>
    </row>
    <row r="30">
      <c r="A30" s="95"/>
      <c r="B30" s="95"/>
      <c r="C30" s="95"/>
      <c r="D30" s="9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5" t="s">
        <v>6716</v>
      </c>
      <c r="B2" s="105" t="s">
        <v>6127</v>
      </c>
      <c r="C2" s="105"/>
      <c r="D2" s="110" t="s">
        <v>6716</v>
      </c>
    </row>
    <row r="3">
      <c r="A3" s="105" t="s">
        <v>6717</v>
      </c>
      <c r="B3" s="105" t="s">
        <v>6130</v>
      </c>
      <c r="C3" s="105"/>
      <c r="D3" s="105" t="s">
        <v>6717</v>
      </c>
    </row>
    <row r="4">
      <c r="A4" s="105" t="s">
        <v>6718</v>
      </c>
      <c r="B4" s="105" t="s">
        <v>6145</v>
      </c>
      <c r="C4" s="105"/>
      <c r="D4" s="105" t="s">
        <v>6718</v>
      </c>
    </row>
    <row r="5">
      <c r="A5" s="105"/>
      <c r="B5" s="105"/>
      <c r="C5" s="105"/>
      <c r="D5" s="105"/>
    </row>
    <row r="6">
      <c r="A6" s="105"/>
      <c r="B6" s="105"/>
      <c r="C6" s="105"/>
      <c r="D6" s="11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6719</v>
      </c>
      <c r="B2" s="104"/>
      <c r="C2" s="104" t="s">
        <v>6720</v>
      </c>
    </row>
    <row r="3">
      <c r="A3" s="108" t="s">
        <v>6719</v>
      </c>
      <c r="B3" s="105"/>
      <c r="C3" s="105" t="s">
        <v>6123</v>
      </c>
    </row>
    <row r="4">
      <c r="A4" s="95" t="s">
        <v>6721</v>
      </c>
      <c r="B4" s="105"/>
      <c r="C4" s="105" t="s">
        <v>6722</v>
      </c>
    </row>
    <row r="5">
      <c r="A5" s="95" t="s">
        <v>6721</v>
      </c>
      <c r="C5" s="78">
        <v>2.0</v>
      </c>
    </row>
    <row r="6">
      <c r="A6" s="95" t="s">
        <v>6723</v>
      </c>
      <c r="C6" s="78" t="s">
        <v>6724</v>
      </c>
    </row>
    <row r="7">
      <c r="A7" s="95" t="s">
        <v>6723</v>
      </c>
      <c r="C7" s="78">
        <v>3.0</v>
      </c>
    </row>
    <row r="8">
      <c r="A8" s="78" t="s">
        <v>6725</v>
      </c>
      <c r="C8" s="78" t="s">
        <v>6726</v>
      </c>
    </row>
    <row r="9">
      <c r="A9" s="78" t="s">
        <v>6725</v>
      </c>
      <c r="C9" s="78">
        <v>4.0</v>
      </c>
    </row>
    <row r="10">
      <c r="A10" s="78" t="s">
        <v>6727</v>
      </c>
      <c r="C10" s="78" t="s">
        <v>6728</v>
      </c>
    </row>
    <row r="11">
      <c r="A11" s="78" t="s">
        <v>6727</v>
      </c>
      <c r="C11" s="78">
        <v>5.0</v>
      </c>
    </row>
    <row r="12">
      <c r="A12" s="78"/>
      <c r="C12" s="78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3" width="18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6729</v>
      </c>
      <c r="B2" s="104" t="s">
        <v>6730</v>
      </c>
      <c r="C2" s="104" t="s">
        <v>6730</v>
      </c>
    </row>
    <row r="3">
      <c r="A3" s="108" t="s">
        <v>6729</v>
      </c>
      <c r="B3" s="105" t="s">
        <v>6731</v>
      </c>
      <c r="C3" s="105" t="s">
        <v>6731</v>
      </c>
    </row>
    <row r="4">
      <c r="A4" s="95" t="s">
        <v>6732</v>
      </c>
      <c r="B4" s="105" t="s">
        <v>6733</v>
      </c>
      <c r="C4" s="105" t="s">
        <v>6733</v>
      </c>
    </row>
    <row r="5">
      <c r="A5" s="95" t="s">
        <v>6732</v>
      </c>
      <c r="B5" s="78" t="s">
        <v>6734</v>
      </c>
      <c r="C5" s="78" t="s">
        <v>6734</v>
      </c>
    </row>
    <row r="6">
      <c r="A6" s="95" t="s">
        <v>6735</v>
      </c>
      <c r="B6" s="78" t="s">
        <v>6736</v>
      </c>
      <c r="C6" s="78" t="s">
        <v>6736</v>
      </c>
    </row>
    <row r="7">
      <c r="A7" s="95" t="s">
        <v>6735</v>
      </c>
      <c r="B7" s="78" t="s">
        <v>6737</v>
      </c>
      <c r="C7" s="78" t="s">
        <v>6737</v>
      </c>
    </row>
    <row r="8">
      <c r="A8" s="78" t="s">
        <v>6738</v>
      </c>
      <c r="B8" s="78" t="s">
        <v>6739</v>
      </c>
      <c r="C8" s="78" t="s">
        <v>6739</v>
      </c>
    </row>
    <row r="9">
      <c r="A9" s="78" t="s">
        <v>6738</v>
      </c>
      <c r="B9" s="78" t="s">
        <v>6740</v>
      </c>
      <c r="C9" s="78" t="s">
        <v>6740</v>
      </c>
    </row>
    <row r="10">
      <c r="A10" s="78" t="s">
        <v>6741</v>
      </c>
      <c r="B10" s="78" t="s">
        <v>6742</v>
      </c>
      <c r="C10" s="78" t="s">
        <v>6742</v>
      </c>
    </row>
    <row r="11">
      <c r="A11" s="78" t="s">
        <v>6741</v>
      </c>
      <c r="B11" s="78" t="s">
        <v>6743</v>
      </c>
      <c r="C11" s="78" t="s">
        <v>6743</v>
      </c>
    </row>
    <row r="12">
      <c r="A12" s="78" t="s">
        <v>6744</v>
      </c>
      <c r="B12" s="78" t="s">
        <v>6745</v>
      </c>
      <c r="C12" s="78" t="s">
        <v>6745</v>
      </c>
    </row>
    <row r="13">
      <c r="A13" s="78" t="s">
        <v>6744</v>
      </c>
      <c r="B13" s="78" t="s">
        <v>6746</v>
      </c>
      <c r="C13" s="78" t="s">
        <v>6746</v>
      </c>
    </row>
    <row r="14">
      <c r="A14" s="78" t="s">
        <v>6747</v>
      </c>
      <c r="B14" s="78" t="s">
        <v>6748</v>
      </c>
      <c r="C14" s="78" t="s">
        <v>6748</v>
      </c>
    </row>
    <row r="15">
      <c r="A15" s="78" t="s">
        <v>6747</v>
      </c>
      <c r="B15" s="78" t="s">
        <v>6749</v>
      </c>
      <c r="C15" s="78" t="s">
        <v>6749</v>
      </c>
    </row>
    <row r="16">
      <c r="A16" s="78" t="s">
        <v>6750</v>
      </c>
      <c r="B16" s="78" t="s">
        <v>6751</v>
      </c>
      <c r="C16" s="78" t="s">
        <v>6751</v>
      </c>
    </row>
    <row r="17">
      <c r="A17" s="78" t="s">
        <v>6750</v>
      </c>
      <c r="B17" s="78" t="s">
        <v>6752</v>
      </c>
      <c r="C17" s="78" t="s">
        <v>6752</v>
      </c>
    </row>
    <row r="18">
      <c r="A18" s="78" t="s">
        <v>6753</v>
      </c>
      <c r="B18" s="78" t="s">
        <v>6754</v>
      </c>
      <c r="C18" s="78" t="s">
        <v>6754</v>
      </c>
    </row>
    <row r="19">
      <c r="A19" s="78" t="s">
        <v>6753</v>
      </c>
      <c r="B19" s="78" t="s">
        <v>6755</v>
      </c>
      <c r="C19" s="78" t="s">
        <v>6755</v>
      </c>
    </row>
    <row r="20">
      <c r="A20" s="78" t="s">
        <v>6756</v>
      </c>
      <c r="B20" s="78" t="s">
        <v>6757</v>
      </c>
      <c r="C20" s="78" t="s">
        <v>6757</v>
      </c>
    </row>
    <row r="21">
      <c r="A21" s="78" t="s">
        <v>6756</v>
      </c>
      <c r="B21" s="78" t="s">
        <v>6758</v>
      </c>
      <c r="C21" s="78" t="s">
        <v>6758</v>
      </c>
    </row>
    <row r="22">
      <c r="A22" s="78" t="s">
        <v>6759</v>
      </c>
      <c r="B22" s="78" t="s">
        <v>6760</v>
      </c>
      <c r="C22" s="78" t="s">
        <v>6760</v>
      </c>
    </row>
    <row r="23">
      <c r="A23" s="78" t="s">
        <v>6759</v>
      </c>
      <c r="B23" s="78" t="s">
        <v>6761</v>
      </c>
      <c r="C23" s="78" t="s">
        <v>6761</v>
      </c>
    </row>
    <row r="24">
      <c r="A24" s="78" t="s">
        <v>6762</v>
      </c>
      <c r="B24" s="78" t="s">
        <v>6763</v>
      </c>
      <c r="C24" s="78" t="s">
        <v>6763</v>
      </c>
    </row>
    <row r="25">
      <c r="A25" s="78" t="s">
        <v>6762</v>
      </c>
      <c r="B25" s="78" t="s">
        <v>6764</v>
      </c>
      <c r="C25" s="78" t="s">
        <v>6764</v>
      </c>
    </row>
    <row r="26">
      <c r="A26" s="78" t="s">
        <v>6765</v>
      </c>
      <c r="B26" s="78" t="s">
        <v>6766</v>
      </c>
      <c r="C26" s="78" t="s">
        <v>6766</v>
      </c>
    </row>
    <row r="27">
      <c r="A27" s="78" t="s">
        <v>6765</v>
      </c>
      <c r="B27" s="78" t="s">
        <v>6767</v>
      </c>
      <c r="C27" s="78" t="s">
        <v>6767</v>
      </c>
    </row>
    <row r="28">
      <c r="A28" s="78" t="s">
        <v>6768</v>
      </c>
      <c r="B28" s="78" t="s">
        <v>6769</v>
      </c>
      <c r="C28" s="78" t="s">
        <v>6769</v>
      </c>
    </row>
    <row r="29">
      <c r="A29" s="78" t="s">
        <v>6768</v>
      </c>
      <c r="B29" s="78" t="s">
        <v>6770</v>
      </c>
      <c r="C29" s="78" t="s">
        <v>6770</v>
      </c>
    </row>
    <row r="30">
      <c r="A30" s="78" t="s">
        <v>6771</v>
      </c>
      <c r="B30" s="78" t="s">
        <v>6772</v>
      </c>
      <c r="C30" s="78" t="s">
        <v>6772</v>
      </c>
    </row>
    <row r="31">
      <c r="A31" s="78" t="s">
        <v>6771</v>
      </c>
      <c r="B31" s="78" t="s">
        <v>6773</v>
      </c>
      <c r="C31" s="78" t="s">
        <v>6773</v>
      </c>
    </row>
    <row r="32">
      <c r="A32" s="78" t="s">
        <v>6774</v>
      </c>
      <c r="B32" s="78" t="s">
        <v>6775</v>
      </c>
      <c r="C32" s="78" t="s">
        <v>6775</v>
      </c>
    </row>
    <row r="33">
      <c r="A33" s="78" t="s">
        <v>6774</v>
      </c>
      <c r="B33" s="78" t="s">
        <v>6776</v>
      </c>
      <c r="C33" s="78" t="s">
        <v>6776</v>
      </c>
    </row>
    <row r="34">
      <c r="A34" s="78" t="s">
        <v>6777</v>
      </c>
      <c r="B34" s="78" t="s">
        <v>6778</v>
      </c>
      <c r="C34" s="78" t="s">
        <v>6778</v>
      </c>
    </row>
    <row r="35">
      <c r="A35" s="78" t="s">
        <v>6777</v>
      </c>
      <c r="B35" s="78" t="s">
        <v>6779</v>
      </c>
      <c r="C35" s="78" t="s">
        <v>6779</v>
      </c>
    </row>
    <row r="36">
      <c r="A36" s="78" t="s">
        <v>6780</v>
      </c>
      <c r="B36" s="78" t="s">
        <v>6781</v>
      </c>
      <c r="C36" s="78" t="s">
        <v>6781</v>
      </c>
    </row>
    <row r="37">
      <c r="A37" s="78" t="s">
        <v>6780</v>
      </c>
      <c r="B37" s="78" t="s">
        <v>6782</v>
      </c>
      <c r="C37" s="78" t="s">
        <v>6782</v>
      </c>
    </row>
    <row r="38">
      <c r="A38" s="78" t="s">
        <v>6783</v>
      </c>
      <c r="B38" s="78" t="s">
        <v>6784</v>
      </c>
      <c r="C38" s="78" t="s">
        <v>6784</v>
      </c>
    </row>
    <row r="39">
      <c r="A39" s="78" t="s">
        <v>6783</v>
      </c>
      <c r="B39" s="78" t="s">
        <v>6785</v>
      </c>
      <c r="C39" s="78" t="s">
        <v>6785</v>
      </c>
    </row>
    <row r="40">
      <c r="A40" s="78" t="s">
        <v>6786</v>
      </c>
      <c r="B40" s="78" t="s">
        <v>6787</v>
      </c>
      <c r="C40" s="78" t="s">
        <v>6787</v>
      </c>
    </row>
    <row r="41">
      <c r="A41" s="78" t="s">
        <v>6786</v>
      </c>
      <c r="B41" s="78" t="s">
        <v>6788</v>
      </c>
      <c r="C41" s="78" t="s">
        <v>6788</v>
      </c>
    </row>
    <row r="42">
      <c r="A42" s="78" t="s">
        <v>6789</v>
      </c>
      <c r="B42" s="78" t="s">
        <v>6790</v>
      </c>
      <c r="C42" s="78" t="s">
        <v>6790</v>
      </c>
    </row>
    <row r="43">
      <c r="A43" s="78" t="s">
        <v>6789</v>
      </c>
      <c r="B43" s="78" t="s">
        <v>6791</v>
      </c>
      <c r="C43" s="78" t="s">
        <v>6791</v>
      </c>
    </row>
    <row r="44">
      <c r="A44" s="78" t="s">
        <v>6792</v>
      </c>
      <c r="B44" s="78" t="s">
        <v>6793</v>
      </c>
      <c r="C44" s="78" t="s">
        <v>6793</v>
      </c>
    </row>
    <row r="45">
      <c r="A45" s="78" t="s">
        <v>6792</v>
      </c>
      <c r="B45" s="78" t="s">
        <v>6794</v>
      </c>
      <c r="C45" s="78" t="s">
        <v>6794</v>
      </c>
    </row>
    <row r="46">
      <c r="A46" s="78" t="s">
        <v>6795</v>
      </c>
      <c r="B46" s="78" t="s">
        <v>6796</v>
      </c>
      <c r="C46" s="78" t="s">
        <v>6796</v>
      </c>
    </row>
    <row r="47">
      <c r="A47" s="78" t="s">
        <v>6795</v>
      </c>
      <c r="B47" s="78" t="s">
        <v>6797</v>
      </c>
      <c r="C47" s="78" t="s">
        <v>6797</v>
      </c>
    </row>
    <row r="48">
      <c r="A48" s="78" t="s">
        <v>6798</v>
      </c>
      <c r="B48" s="78" t="s">
        <v>6799</v>
      </c>
      <c r="C48" s="78" t="s">
        <v>6799</v>
      </c>
    </row>
    <row r="49">
      <c r="A49" s="78" t="s">
        <v>6798</v>
      </c>
      <c r="B49" s="78" t="s">
        <v>6224</v>
      </c>
      <c r="C49" s="78" t="s">
        <v>6224</v>
      </c>
    </row>
    <row r="50">
      <c r="A50" s="78"/>
      <c r="C50" s="78"/>
    </row>
    <row r="51">
      <c r="A51" s="78"/>
      <c r="C51" s="78"/>
    </row>
    <row r="52">
      <c r="A52" s="78"/>
      <c r="C52" s="78"/>
    </row>
    <row r="53">
      <c r="A53" s="78"/>
      <c r="C53" s="78"/>
    </row>
    <row r="54">
      <c r="A54" s="78"/>
      <c r="C54" s="78"/>
    </row>
    <row r="55">
      <c r="A55" s="78"/>
      <c r="C55" s="78"/>
    </row>
    <row r="56">
      <c r="A56" s="78"/>
      <c r="C56" s="78"/>
    </row>
    <row r="57">
      <c r="A57" s="78"/>
      <c r="C57" s="78"/>
    </row>
    <row r="58">
      <c r="A58" s="78"/>
      <c r="C58" s="78"/>
    </row>
    <row r="59">
      <c r="A59" s="78"/>
      <c r="C59" s="78"/>
    </row>
    <row r="60">
      <c r="A60" s="78"/>
      <c r="C60" s="78"/>
    </row>
    <row r="61">
      <c r="A61" s="78"/>
      <c r="C61" s="78"/>
    </row>
    <row r="62">
      <c r="A62" s="78"/>
      <c r="C62" s="78"/>
    </row>
    <row r="63">
      <c r="A63" s="78"/>
      <c r="C63" s="78"/>
    </row>
    <row r="64">
      <c r="A64" s="78"/>
      <c r="C64" s="78"/>
    </row>
    <row r="65">
      <c r="A65" s="78"/>
      <c r="C65" s="78"/>
    </row>
    <row r="66">
      <c r="A66" s="78"/>
      <c r="C66" s="78"/>
    </row>
    <row r="67">
      <c r="A67" s="78"/>
      <c r="C67" s="78"/>
    </row>
    <row r="68">
      <c r="A68" s="78"/>
      <c r="C68" s="78"/>
    </row>
    <row r="69">
      <c r="A69" s="78"/>
      <c r="C69" s="78"/>
    </row>
    <row r="70">
      <c r="A70" s="78"/>
      <c r="C70" s="78"/>
    </row>
    <row r="71">
      <c r="A71" s="78"/>
      <c r="C71" s="78"/>
    </row>
    <row r="72">
      <c r="A72" s="78"/>
      <c r="C72" s="78"/>
    </row>
    <row r="73">
      <c r="A73" s="78"/>
      <c r="C73" s="78"/>
    </row>
    <row r="74">
      <c r="A74" s="78"/>
      <c r="C74" s="78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7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6719</v>
      </c>
      <c r="B2" s="104" t="s">
        <v>6800</v>
      </c>
      <c r="C2" s="104" t="s">
        <v>6801</v>
      </c>
    </row>
    <row r="3">
      <c r="A3" s="108" t="s">
        <v>6719</v>
      </c>
      <c r="B3" s="105" t="s">
        <v>6123</v>
      </c>
      <c r="C3" s="105" t="s">
        <v>6719</v>
      </c>
    </row>
    <row r="4">
      <c r="A4" s="108" t="s">
        <v>6719</v>
      </c>
      <c r="B4" s="105"/>
      <c r="C4" s="105" t="s">
        <v>6123</v>
      </c>
    </row>
    <row r="5">
      <c r="A5" s="105" t="s">
        <v>6721</v>
      </c>
      <c r="B5" s="105" t="s">
        <v>6802</v>
      </c>
      <c r="C5" s="105" t="s">
        <v>6803</v>
      </c>
    </row>
    <row r="6">
      <c r="A6" s="105" t="s">
        <v>6721</v>
      </c>
      <c r="B6" s="105" t="s">
        <v>6127</v>
      </c>
      <c r="C6" s="105" t="s">
        <v>6721</v>
      </c>
    </row>
    <row r="7">
      <c r="A7" s="105" t="s">
        <v>6721</v>
      </c>
      <c r="B7" s="105"/>
      <c r="C7" s="105" t="s">
        <v>6127</v>
      </c>
    </row>
    <row r="8">
      <c r="A8" s="105" t="s">
        <v>6804</v>
      </c>
      <c r="B8" s="105" t="s">
        <v>6805</v>
      </c>
      <c r="C8" s="105" t="s">
        <v>6806</v>
      </c>
    </row>
    <row r="9">
      <c r="A9" s="105" t="s">
        <v>6804</v>
      </c>
      <c r="B9" s="78">
        <v>3.0</v>
      </c>
      <c r="C9" s="78" t="s">
        <v>6804</v>
      </c>
    </row>
    <row r="10">
      <c r="A10" s="105" t="s">
        <v>6804</v>
      </c>
      <c r="B10" s="78"/>
      <c r="C10" s="78">
        <v>3.0</v>
      </c>
    </row>
    <row r="11">
      <c r="A11" s="78" t="s">
        <v>6807</v>
      </c>
      <c r="B11" s="78" t="s">
        <v>6808</v>
      </c>
      <c r="C11" s="78" t="s">
        <v>6809</v>
      </c>
    </row>
    <row r="12">
      <c r="A12" s="78" t="s">
        <v>6807</v>
      </c>
      <c r="B12" s="78">
        <v>4.0</v>
      </c>
      <c r="C12" s="78" t="s">
        <v>6807</v>
      </c>
    </row>
    <row r="13">
      <c r="A13" s="78" t="s">
        <v>6807</v>
      </c>
      <c r="B13" s="78"/>
      <c r="C13" s="78">
        <v>4.0</v>
      </c>
    </row>
    <row r="14">
      <c r="A14" s="78" t="s">
        <v>6727</v>
      </c>
      <c r="B14" s="78" t="s">
        <v>6810</v>
      </c>
      <c r="C14" s="78" t="s">
        <v>6811</v>
      </c>
    </row>
    <row r="15">
      <c r="A15" s="78" t="s">
        <v>6727</v>
      </c>
      <c r="B15" s="78">
        <v>5.0</v>
      </c>
      <c r="C15" s="78" t="s">
        <v>6727</v>
      </c>
    </row>
    <row r="16">
      <c r="A16" s="78" t="s">
        <v>6727</v>
      </c>
      <c r="C16" s="78">
        <v>5.0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24.38"/>
    <col customWidth="1" min="3" max="3" width="26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6812</v>
      </c>
      <c r="B2" s="104" t="s">
        <v>6813</v>
      </c>
      <c r="C2" s="104" t="s">
        <v>6814</v>
      </c>
    </row>
    <row r="3">
      <c r="A3" s="108" t="s">
        <v>6812</v>
      </c>
      <c r="B3" s="105" t="s">
        <v>6123</v>
      </c>
      <c r="C3" s="105" t="s">
        <v>6123</v>
      </c>
    </row>
    <row r="4">
      <c r="A4" s="105" t="s">
        <v>6815</v>
      </c>
      <c r="B4" s="105" t="s">
        <v>6816</v>
      </c>
      <c r="C4" s="105" t="s">
        <v>6817</v>
      </c>
    </row>
    <row r="5">
      <c r="A5" s="105" t="s">
        <v>6815</v>
      </c>
      <c r="B5" s="105" t="s">
        <v>6127</v>
      </c>
      <c r="C5" s="105" t="s">
        <v>6127</v>
      </c>
    </row>
    <row r="6">
      <c r="A6" s="112" t="s">
        <v>6818</v>
      </c>
      <c r="B6" s="105" t="s">
        <v>6819</v>
      </c>
      <c r="C6" s="105" t="s">
        <v>6820</v>
      </c>
    </row>
    <row r="7">
      <c r="A7" s="112" t="s">
        <v>6818</v>
      </c>
      <c r="B7" s="78">
        <v>3.0</v>
      </c>
      <c r="C7" s="78">
        <v>3.0</v>
      </c>
    </row>
    <row r="12">
      <c r="A12" s="95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3" width="24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6663</v>
      </c>
      <c r="B2" s="108" t="s">
        <v>6123</v>
      </c>
      <c r="C2" s="104" t="s">
        <v>6821</v>
      </c>
      <c r="D2" s="104" t="s">
        <v>6821</v>
      </c>
    </row>
    <row r="3">
      <c r="A3" s="108" t="s">
        <v>6663</v>
      </c>
      <c r="B3" s="108" t="s">
        <v>6123</v>
      </c>
      <c r="C3" s="105" t="s">
        <v>6123</v>
      </c>
      <c r="D3" s="105" t="s">
        <v>6123</v>
      </c>
    </row>
    <row r="4">
      <c r="A4" s="105" t="s">
        <v>6667</v>
      </c>
      <c r="B4" s="105" t="s">
        <v>6127</v>
      </c>
      <c r="C4" s="105" t="s">
        <v>6678</v>
      </c>
      <c r="D4" s="105" t="s">
        <v>6678</v>
      </c>
    </row>
    <row r="5">
      <c r="A5" s="105" t="s">
        <v>6667</v>
      </c>
      <c r="B5" s="105" t="s">
        <v>6127</v>
      </c>
      <c r="C5" s="105" t="s">
        <v>6127</v>
      </c>
      <c r="D5" s="105" t="s">
        <v>6127</v>
      </c>
    </row>
    <row r="6">
      <c r="A6" s="113" t="s">
        <v>6822</v>
      </c>
      <c r="B6" s="109" t="s">
        <v>6130</v>
      </c>
      <c r="C6" s="105" t="s">
        <v>6823</v>
      </c>
      <c r="D6" s="105" t="s">
        <v>6823</v>
      </c>
    </row>
    <row r="7">
      <c r="A7" s="113" t="s">
        <v>6822</v>
      </c>
      <c r="B7" s="78">
        <v>3.0</v>
      </c>
      <c r="C7" s="78">
        <v>3.0</v>
      </c>
      <c r="D7" s="78">
        <v>3.0</v>
      </c>
    </row>
    <row r="8">
      <c r="A8" s="78" t="s">
        <v>6824</v>
      </c>
      <c r="B8" s="78">
        <v>4.0</v>
      </c>
      <c r="D8" s="78">
        <v>4.0</v>
      </c>
    </row>
    <row r="12">
      <c r="A12" s="95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9.7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6825</v>
      </c>
      <c r="B2" s="104" t="s">
        <v>6826</v>
      </c>
      <c r="C2" s="104" t="s">
        <v>6827</v>
      </c>
    </row>
    <row r="3">
      <c r="A3" s="108" t="s">
        <v>6825</v>
      </c>
      <c r="B3" s="105" t="s">
        <v>6123</v>
      </c>
      <c r="C3" s="105" t="s">
        <v>6828</v>
      </c>
    </row>
    <row r="4">
      <c r="A4" s="105" t="s">
        <v>6829</v>
      </c>
      <c r="B4" s="105" t="s">
        <v>6830</v>
      </c>
      <c r="C4" s="105" t="s">
        <v>6831</v>
      </c>
    </row>
    <row r="5">
      <c r="A5" s="105" t="s">
        <v>6829</v>
      </c>
      <c r="B5" s="105" t="s">
        <v>6127</v>
      </c>
      <c r="C5" s="105" t="s">
        <v>6832</v>
      </c>
    </row>
    <row r="6">
      <c r="A6" s="105" t="s">
        <v>6833</v>
      </c>
      <c r="B6" s="105" t="s">
        <v>6834</v>
      </c>
      <c r="C6" s="105" t="s">
        <v>6835</v>
      </c>
    </row>
    <row r="7">
      <c r="A7" s="105" t="s">
        <v>6833</v>
      </c>
      <c r="B7" s="78">
        <v>3.0</v>
      </c>
      <c r="C7" s="78" t="s">
        <v>6836</v>
      </c>
    </row>
    <row r="8">
      <c r="A8" s="78" t="s">
        <v>6837</v>
      </c>
      <c r="B8" s="78" t="s">
        <v>6838</v>
      </c>
      <c r="C8" s="78" t="s">
        <v>6839</v>
      </c>
    </row>
    <row r="9">
      <c r="A9" s="78" t="s">
        <v>6837</v>
      </c>
      <c r="B9" s="78">
        <v>4.0</v>
      </c>
      <c r="C9" s="78" t="s">
        <v>6840</v>
      </c>
    </row>
    <row r="10">
      <c r="A10" s="78" t="s">
        <v>6841</v>
      </c>
      <c r="B10" s="78" t="s">
        <v>6842</v>
      </c>
      <c r="C10" s="78" t="s">
        <v>6843</v>
      </c>
    </row>
    <row r="11">
      <c r="A11" s="78" t="s">
        <v>6841</v>
      </c>
      <c r="B11" s="78">
        <v>5.0</v>
      </c>
      <c r="C11" s="78" t="s">
        <v>6844</v>
      </c>
    </row>
    <row r="12">
      <c r="A12" s="95" t="s">
        <v>6845</v>
      </c>
      <c r="B12" s="78" t="s">
        <v>6846</v>
      </c>
    </row>
    <row r="13">
      <c r="A13" s="95" t="s">
        <v>6845</v>
      </c>
      <c r="B13" s="78">
        <v>6.0</v>
      </c>
    </row>
    <row r="14">
      <c r="A14" s="95"/>
    </row>
    <row r="15">
      <c r="A15" s="95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5" t="s">
        <v>6847</v>
      </c>
      <c r="B2" s="105" t="s">
        <v>6123</v>
      </c>
      <c r="C2" s="100"/>
    </row>
    <row r="3">
      <c r="A3" s="105" t="s">
        <v>6848</v>
      </c>
      <c r="B3" s="105" t="s">
        <v>6127</v>
      </c>
      <c r="C3" s="100"/>
    </row>
    <row r="4">
      <c r="A4" s="105" t="s">
        <v>6849</v>
      </c>
      <c r="B4" s="105" t="s">
        <v>6130</v>
      </c>
      <c r="C4" s="100"/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5" t="s">
        <v>6850</v>
      </c>
      <c r="B2" s="105" t="s">
        <v>6123</v>
      </c>
      <c r="C2" s="100"/>
    </row>
    <row r="3">
      <c r="A3" s="105" t="s">
        <v>6851</v>
      </c>
      <c r="B3" s="105" t="s">
        <v>6127</v>
      </c>
      <c r="C3" s="100"/>
    </row>
    <row r="4">
      <c r="A4" s="105" t="s">
        <v>6591</v>
      </c>
      <c r="B4" s="105" t="s">
        <v>6130</v>
      </c>
      <c r="C4" s="100"/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6138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6139</v>
      </c>
      <c r="B4" s="95" t="s">
        <v>6130</v>
      </c>
      <c r="C4" s="95" t="s">
        <v>6127</v>
      </c>
      <c r="D4" s="95" t="s">
        <v>6130</v>
      </c>
      <c r="E4" s="95" t="s">
        <v>6130</v>
      </c>
    </row>
    <row r="5">
      <c r="B5" s="96"/>
      <c r="C5" s="96"/>
      <c r="D5" s="96"/>
    </row>
    <row r="6">
      <c r="B6" s="96"/>
      <c r="C6" s="96"/>
      <c r="D6" s="96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5" t="s">
        <v>6852</v>
      </c>
      <c r="B2" s="105" t="s">
        <v>6123</v>
      </c>
      <c r="C2" s="100"/>
    </row>
    <row r="3">
      <c r="A3" s="105" t="s">
        <v>6853</v>
      </c>
      <c r="B3" s="105" t="s">
        <v>6127</v>
      </c>
      <c r="C3" s="100"/>
    </row>
    <row r="4">
      <c r="A4" s="105" t="s">
        <v>6854</v>
      </c>
      <c r="B4" s="105" t="s">
        <v>6130</v>
      </c>
      <c r="C4" s="100"/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5" t="s">
        <v>6855</v>
      </c>
      <c r="C2" s="105" t="s">
        <v>6123</v>
      </c>
    </row>
    <row r="3">
      <c r="A3" s="105" t="s">
        <v>2671</v>
      </c>
      <c r="C3" s="105" t="s">
        <v>6127</v>
      </c>
    </row>
    <row r="4">
      <c r="A4" s="95"/>
      <c r="B4" s="95"/>
      <c r="C4" s="95"/>
    </row>
    <row r="5">
      <c r="A5" s="95"/>
      <c r="B5" s="95"/>
      <c r="C5" s="95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5" t="s">
        <v>6856</v>
      </c>
      <c r="B2" s="78">
        <v>1.0</v>
      </c>
      <c r="D2" s="105" t="s">
        <v>6123</v>
      </c>
    </row>
    <row r="3">
      <c r="A3" s="105" t="s">
        <v>6857</v>
      </c>
      <c r="B3" s="78">
        <v>2.0</v>
      </c>
      <c r="D3" s="105" t="s">
        <v>6127</v>
      </c>
    </row>
    <row r="4">
      <c r="A4" s="95" t="s">
        <v>6858</v>
      </c>
      <c r="B4" s="95" t="s">
        <v>6130</v>
      </c>
      <c r="C4" s="95"/>
      <c r="D4" s="95" t="s">
        <v>6130</v>
      </c>
    </row>
    <row r="5">
      <c r="A5" s="95" t="s">
        <v>6859</v>
      </c>
      <c r="B5" s="95" t="s">
        <v>6145</v>
      </c>
      <c r="C5" s="95"/>
      <c r="D5" s="95" t="s">
        <v>6145</v>
      </c>
    </row>
    <row r="6">
      <c r="A6" s="95"/>
      <c r="B6" s="95"/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5" t="s">
        <v>6860</v>
      </c>
      <c r="B2" s="78">
        <v>1.0</v>
      </c>
      <c r="D2" s="105" t="s">
        <v>6123</v>
      </c>
    </row>
    <row r="3">
      <c r="A3" s="105" t="s">
        <v>6861</v>
      </c>
      <c r="B3" s="78">
        <v>2.0</v>
      </c>
      <c r="D3" s="105" t="s">
        <v>6127</v>
      </c>
    </row>
    <row r="4">
      <c r="A4" s="95" t="s">
        <v>6862</v>
      </c>
      <c r="B4" s="95" t="s">
        <v>6130</v>
      </c>
      <c r="C4" s="95"/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38"/>
    <col customWidth="1" min="2" max="2" width="4.0"/>
    <col customWidth="1" min="3" max="3" width="3.13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4" t="s">
        <v>6863</v>
      </c>
      <c r="B2" s="114" t="s">
        <v>6124</v>
      </c>
      <c r="C2" s="104" t="s">
        <v>6864</v>
      </c>
      <c r="D2" s="95"/>
    </row>
    <row r="3">
      <c r="A3" s="108" t="s">
        <v>6865</v>
      </c>
      <c r="B3" s="108" t="s">
        <v>6123</v>
      </c>
      <c r="C3" s="105"/>
      <c r="D3" s="95" t="s">
        <v>6123</v>
      </c>
    </row>
    <row r="4">
      <c r="A4" s="108" t="s">
        <v>6866</v>
      </c>
      <c r="B4" s="108" t="s">
        <v>6123</v>
      </c>
      <c r="C4" s="105"/>
      <c r="D4" s="95" t="s">
        <v>6127</v>
      </c>
    </row>
    <row r="5">
      <c r="A5" s="108" t="s">
        <v>6867</v>
      </c>
      <c r="B5" s="108" t="s">
        <v>6123</v>
      </c>
      <c r="C5" s="105"/>
      <c r="D5" s="104" t="s">
        <v>6130</v>
      </c>
    </row>
    <row r="6">
      <c r="A6" s="95" t="s">
        <v>6868</v>
      </c>
      <c r="B6" s="95" t="s">
        <v>6123</v>
      </c>
      <c r="C6" s="96"/>
      <c r="D6" s="95" t="s">
        <v>6145</v>
      </c>
    </row>
    <row r="7">
      <c r="A7" s="95" t="s">
        <v>6869</v>
      </c>
      <c r="B7" s="95" t="s">
        <v>6123</v>
      </c>
      <c r="C7" s="95" t="s">
        <v>6870</v>
      </c>
      <c r="D7" s="95"/>
    </row>
    <row r="8">
      <c r="A8" s="96"/>
      <c r="B8" s="96"/>
      <c r="C8" s="96"/>
      <c r="D8" s="96"/>
    </row>
    <row r="9">
      <c r="A9" s="96"/>
      <c r="B9" s="96"/>
      <c r="C9" s="96"/>
      <c r="D9" s="96"/>
    </row>
    <row r="10">
      <c r="A10" s="96"/>
      <c r="B10" s="96"/>
      <c r="C10" s="96"/>
      <c r="D10" s="96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88"/>
    <col customWidth="1" min="2" max="2" width="5.13"/>
    <col customWidth="1" min="3" max="3" width="3.13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4" t="s">
        <v>6863</v>
      </c>
      <c r="B2" s="114" t="s">
        <v>6124</v>
      </c>
      <c r="C2" s="104" t="s">
        <v>6124</v>
      </c>
      <c r="D2" s="95" t="s">
        <v>6124</v>
      </c>
    </row>
    <row r="3">
      <c r="A3" s="108" t="s">
        <v>6871</v>
      </c>
      <c r="B3" s="108" t="s">
        <v>6123</v>
      </c>
      <c r="C3" s="105" t="s">
        <v>6123</v>
      </c>
      <c r="D3" s="95" t="s">
        <v>6123</v>
      </c>
    </row>
    <row r="4">
      <c r="A4" s="108" t="s">
        <v>6872</v>
      </c>
      <c r="B4" s="108" t="s">
        <v>6127</v>
      </c>
      <c r="C4" s="105" t="s">
        <v>6127</v>
      </c>
      <c r="D4" s="95" t="s">
        <v>6127</v>
      </c>
    </row>
    <row r="5">
      <c r="A5" s="108" t="s">
        <v>6873</v>
      </c>
      <c r="B5" s="108" t="s">
        <v>6130</v>
      </c>
      <c r="C5" s="105" t="s">
        <v>6130</v>
      </c>
      <c r="D5" s="104" t="s">
        <v>6130</v>
      </c>
    </row>
    <row r="6">
      <c r="A6" s="96"/>
      <c r="B6" s="96"/>
      <c r="C6" s="96"/>
      <c r="D6" s="96"/>
    </row>
    <row r="7">
      <c r="A7" s="96"/>
      <c r="B7" s="96"/>
      <c r="C7" s="96"/>
      <c r="D7" s="96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5.13"/>
    <col customWidth="1" min="3" max="3" width="3.13"/>
    <col customWidth="1" min="4" max="4" width="3.5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6874</v>
      </c>
      <c r="B2" s="108" t="s">
        <v>6124</v>
      </c>
      <c r="C2" s="105" t="s">
        <v>6123</v>
      </c>
      <c r="D2" s="95" t="s">
        <v>6123</v>
      </c>
    </row>
    <row r="3">
      <c r="A3" s="108" t="s">
        <v>6875</v>
      </c>
      <c r="B3" s="108" t="s">
        <v>6123</v>
      </c>
      <c r="C3" s="105" t="s">
        <v>6127</v>
      </c>
      <c r="D3" s="95" t="s">
        <v>6127</v>
      </c>
    </row>
    <row r="4">
      <c r="A4" s="96"/>
      <c r="B4" s="96"/>
      <c r="C4" s="96"/>
      <c r="D4" s="96"/>
    </row>
    <row r="5">
      <c r="A5" s="96"/>
      <c r="B5" s="96"/>
      <c r="C5" s="96"/>
      <c r="D5" s="9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6876</v>
      </c>
      <c r="B2" s="105" t="s">
        <v>6123</v>
      </c>
      <c r="C2" s="95" t="s">
        <v>6123</v>
      </c>
    </row>
    <row r="3">
      <c r="A3" s="108" t="s">
        <v>6877</v>
      </c>
      <c r="B3" s="105" t="s">
        <v>6127</v>
      </c>
      <c r="C3" s="95" t="s">
        <v>6127</v>
      </c>
    </row>
    <row r="4">
      <c r="A4" s="95" t="s">
        <v>6878</v>
      </c>
      <c r="B4" s="95" t="s">
        <v>6130</v>
      </c>
      <c r="C4" s="95" t="s">
        <v>6130</v>
      </c>
    </row>
    <row r="5">
      <c r="A5" s="95" t="s">
        <v>6879</v>
      </c>
      <c r="B5" s="95" t="s">
        <v>6145</v>
      </c>
      <c r="C5" s="95" t="s">
        <v>6145</v>
      </c>
    </row>
    <row r="6">
      <c r="A6" s="95"/>
      <c r="B6" s="95"/>
      <c r="C6" s="95"/>
    </row>
    <row r="7">
      <c r="A7" s="95"/>
      <c r="B7" s="95"/>
      <c r="C7" s="95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6880</v>
      </c>
      <c r="B2" s="98" t="s">
        <v>6226</v>
      </c>
      <c r="C2" s="98" t="s">
        <v>6226</v>
      </c>
    </row>
    <row r="3">
      <c r="A3" s="108" t="s">
        <v>6881</v>
      </c>
      <c r="B3" s="100" t="s">
        <v>6228</v>
      </c>
      <c r="C3" s="100" t="s">
        <v>6228</v>
      </c>
    </row>
    <row r="4">
      <c r="A4" s="95" t="s">
        <v>6882</v>
      </c>
      <c r="B4" s="100" t="s">
        <v>6230</v>
      </c>
      <c r="C4" s="100" t="s">
        <v>6230</v>
      </c>
    </row>
    <row r="5">
      <c r="A5" s="95" t="s">
        <v>6883</v>
      </c>
      <c r="B5" s="100" t="s">
        <v>6232</v>
      </c>
      <c r="C5" s="100" t="s">
        <v>6232</v>
      </c>
    </row>
    <row r="6">
      <c r="A6" s="95" t="s">
        <v>6884</v>
      </c>
      <c r="B6" s="100" t="s">
        <v>6234</v>
      </c>
      <c r="C6" s="100" t="s">
        <v>6234</v>
      </c>
    </row>
    <row r="7">
      <c r="A7" s="95" t="s">
        <v>6885</v>
      </c>
      <c r="B7" s="100" t="s">
        <v>6236</v>
      </c>
      <c r="C7" s="100" t="s">
        <v>6236</v>
      </c>
    </row>
    <row r="8">
      <c r="A8" s="95" t="s">
        <v>6886</v>
      </c>
      <c r="B8" s="100" t="s">
        <v>6238</v>
      </c>
      <c r="C8" s="100" t="s">
        <v>6238</v>
      </c>
    </row>
    <row r="9">
      <c r="A9" s="95" t="s">
        <v>6887</v>
      </c>
      <c r="B9" s="100" t="s">
        <v>6240</v>
      </c>
      <c r="C9" s="100" t="s">
        <v>6240</v>
      </c>
    </row>
    <row r="10">
      <c r="A10" s="95" t="s">
        <v>2671</v>
      </c>
      <c r="B10" s="100" t="s">
        <v>6242</v>
      </c>
      <c r="C10" s="100" t="s">
        <v>6242</v>
      </c>
    </row>
    <row r="11">
      <c r="A11" s="95" t="s">
        <v>6636</v>
      </c>
      <c r="B11" s="95"/>
      <c r="C11" s="95" t="s">
        <v>6614</v>
      </c>
    </row>
    <row r="12">
      <c r="A12" s="95" t="s">
        <v>6888</v>
      </c>
      <c r="B12" s="95"/>
      <c r="C12" s="95" t="s">
        <v>6254</v>
      </c>
    </row>
    <row r="13">
      <c r="A13" s="95" t="s">
        <v>6889</v>
      </c>
      <c r="B13" s="95"/>
      <c r="C13" s="95" t="s">
        <v>6256</v>
      </c>
    </row>
    <row r="14">
      <c r="A14" s="95" t="s">
        <v>6890</v>
      </c>
      <c r="B14" s="95"/>
      <c r="C14" s="95" t="s">
        <v>6891</v>
      </c>
    </row>
    <row r="15">
      <c r="A15" s="95" t="s">
        <v>6881</v>
      </c>
      <c r="B15" s="95"/>
      <c r="C15" s="95" t="s">
        <v>6892</v>
      </c>
    </row>
    <row r="16">
      <c r="A16" s="95" t="s">
        <v>6880</v>
      </c>
      <c r="B16" s="95"/>
      <c r="C16" s="95" t="s">
        <v>6264</v>
      </c>
    </row>
    <row r="17">
      <c r="A17" s="95" t="s">
        <v>6893</v>
      </c>
      <c r="B17" s="95"/>
      <c r="C17" s="95" t="s">
        <v>6266</v>
      </c>
    </row>
    <row r="18">
      <c r="A18" s="95" t="s">
        <v>6894</v>
      </c>
      <c r="B18" s="95"/>
      <c r="C18" s="95" t="s">
        <v>6268</v>
      </c>
    </row>
    <row r="19">
      <c r="A19" s="95" t="s">
        <v>6895</v>
      </c>
      <c r="B19" s="95"/>
      <c r="C19" s="95" t="s">
        <v>6896</v>
      </c>
    </row>
    <row r="20">
      <c r="A20" s="95" t="s">
        <v>6897</v>
      </c>
      <c r="B20" s="95"/>
      <c r="C20" s="95" t="s">
        <v>6898</v>
      </c>
    </row>
    <row r="21">
      <c r="A21" s="95" t="s">
        <v>6899</v>
      </c>
      <c r="B21" s="95"/>
      <c r="C21" s="95" t="s">
        <v>6900</v>
      </c>
    </row>
    <row r="22">
      <c r="A22" s="95" t="s">
        <v>6883</v>
      </c>
      <c r="B22" s="95"/>
      <c r="C22" s="95" t="s">
        <v>6901</v>
      </c>
    </row>
    <row r="23">
      <c r="A23" s="95" t="s">
        <v>6902</v>
      </c>
      <c r="B23" s="95"/>
      <c r="C23" s="95" t="s">
        <v>6903</v>
      </c>
    </row>
    <row r="24">
      <c r="A24" s="95" t="s">
        <v>2671</v>
      </c>
      <c r="B24" s="95"/>
      <c r="C24" s="95" t="s">
        <v>6904</v>
      </c>
    </row>
    <row r="25">
      <c r="A25" s="95" t="s">
        <v>6178</v>
      </c>
      <c r="B25" s="95"/>
      <c r="C25" s="95" t="s">
        <v>6306</v>
      </c>
    </row>
    <row r="26">
      <c r="A26" s="95"/>
      <c r="B26" s="95"/>
      <c r="C26" s="95"/>
    </row>
    <row r="27">
      <c r="A27" s="95"/>
      <c r="B27" s="95"/>
      <c r="C27" s="95"/>
    </row>
    <row r="28">
      <c r="A28" s="95"/>
      <c r="B28" s="95"/>
      <c r="C28" s="95"/>
    </row>
    <row r="29">
      <c r="A29" s="95"/>
      <c r="B29" s="95"/>
      <c r="C29" s="95"/>
    </row>
    <row r="30">
      <c r="A30" s="95"/>
      <c r="B30" s="95"/>
      <c r="C30" s="95"/>
    </row>
    <row r="31">
      <c r="A31" s="95"/>
      <c r="B31" s="95"/>
      <c r="C31" s="95"/>
    </row>
    <row r="32">
      <c r="A32" s="95"/>
      <c r="B32" s="95"/>
      <c r="C32" s="95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6905</v>
      </c>
      <c r="B2" s="98" t="s">
        <v>6123</v>
      </c>
      <c r="C2" s="98" t="s">
        <v>6123</v>
      </c>
    </row>
    <row r="3">
      <c r="A3" s="108" t="s">
        <v>6906</v>
      </c>
      <c r="B3" s="100" t="s">
        <v>6127</v>
      </c>
      <c r="C3" s="100" t="s">
        <v>6127</v>
      </c>
    </row>
    <row r="4">
      <c r="A4" s="95" t="s">
        <v>6907</v>
      </c>
      <c r="B4" s="100" t="s">
        <v>6130</v>
      </c>
      <c r="C4" s="100" t="s">
        <v>6130</v>
      </c>
    </row>
    <row r="5">
      <c r="A5" s="95" t="s">
        <v>6908</v>
      </c>
      <c r="B5" s="100" t="s">
        <v>6145</v>
      </c>
      <c r="C5" s="100" t="s">
        <v>6145</v>
      </c>
    </row>
    <row r="6">
      <c r="A6" s="95"/>
      <c r="B6" s="95"/>
      <c r="C6" s="95"/>
    </row>
    <row r="7">
      <c r="A7" s="95"/>
      <c r="B7" s="95"/>
      <c r="C7" s="9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6140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6139</v>
      </c>
      <c r="B4" s="95" t="s">
        <v>6130</v>
      </c>
      <c r="C4" s="95" t="s">
        <v>6127</v>
      </c>
      <c r="D4" s="95" t="s">
        <v>6130</v>
      </c>
      <c r="E4" s="95" t="s">
        <v>6130</v>
      </c>
    </row>
    <row r="5">
      <c r="B5" s="95"/>
      <c r="C5" s="95"/>
      <c r="D5" s="95"/>
      <c r="E5" s="95"/>
    </row>
    <row r="6">
      <c r="B6" s="95"/>
      <c r="C6" s="95"/>
      <c r="D6" s="95"/>
      <c r="E6" s="95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6909</v>
      </c>
      <c r="B2" s="98" t="s">
        <v>6123</v>
      </c>
      <c r="C2" s="98" t="s">
        <v>6123</v>
      </c>
    </row>
    <row r="3">
      <c r="A3" s="108" t="s">
        <v>6910</v>
      </c>
      <c r="B3" s="100" t="s">
        <v>6127</v>
      </c>
    </row>
    <row r="4">
      <c r="A4" s="95" t="s">
        <v>6911</v>
      </c>
      <c r="B4" s="100" t="s">
        <v>6130</v>
      </c>
      <c r="C4" s="105"/>
    </row>
    <row r="5">
      <c r="A5" s="95" t="s">
        <v>6912</v>
      </c>
      <c r="B5" s="100"/>
      <c r="C5" s="105" t="s">
        <v>6127</v>
      </c>
    </row>
    <row r="6">
      <c r="A6" s="95" t="s">
        <v>6913</v>
      </c>
      <c r="B6" s="100" t="s">
        <v>6145</v>
      </c>
      <c r="C6" s="105" t="s">
        <v>6130</v>
      </c>
    </row>
    <row r="7">
      <c r="A7" s="95" t="s">
        <v>6914</v>
      </c>
      <c r="B7" s="95" t="s">
        <v>6184</v>
      </c>
      <c r="C7" s="95" t="s">
        <v>6145</v>
      </c>
    </row>
    <row r="8">
      <c r="A8" s="95" t="s">
        <v>6915</v>
      </c>
      <c r="B8" s="95"/>
      <c r="C8" s="95" t="s">
        <v>6184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6909</v>
      </c>
      <c r="B2" s="98" t="s">
        <v>6123</v>
      </c>
      <c r="C2" s="98" t="s">
        <v>6123</v>
      </c>
    </row>
    <row r="3">
      <c r="A3" s="108" t="s">
        <v>6910</v>
      </c>
      <c r="B3" s="100" t="s">
        <v>6127</v>
      </c>
    </row>
    <row r="4">
      <c r="A4" s="95" t="s">
        <v>6911</v>
      </c>
      <c r="B4" s="100" t="s">
        <v>6130</v>
      </c>
      <c r="C4" s="105"/>
    </row>
    <row r="5">
      <c r="A5" s="95" t="s">
        <v>6912</v>
      </c>
      <c r="B5" s="100"/>
      <c r="C5" s="105" t="s">
        <v>6127</v>
      </c>
    </row>
    <row r="6">
      <c r="A6" s="95" t="s">
        <v>6913</v>
      </c>
      <c r="B6" s="100" t="s">
        <v>6145</v>
      </c>
      <c r="C6" s="105" t="s">
        <v>6130</v>
      </c>
    </row>
    <row r="7">
      <c r="A7" s="95" t="s">
        <v>6914</v>
      </c>
      <c r="B7" s="95" t="s">
        <v>6184</v>
      </c>
      <c r="C7" s="95" t="s">
        <v>6145</v>
      </c>
    </row>
    <row r="8">
      <c r="A8" s="95" t="s">
        <v>6915</v>
      </c>
      <c r="B8" s="95"/>
      <c r="C8" s="95" t="s">
        <v>6184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6916</v>
      </c>
      <c r="B2" s="98" t="s">
        <v>6123</v>
      </c>
      <c r="C2" s="98" t="s">
        <v>6123</v>
      </c>
    </row>
    <row r="3">
      <c r="A3" s="108" t="s">
        <v>6917</v>
      </c>
      <c r="B3" s="100" t="s">
        <v>6127</v>
      </c>
      <c r="C3" s="100" t="s">
        <v>6127</v>
      </c>
    </row>
    <row r="4">
      <c r="A4" s="95" t="s">
        <v>6918</v>
      </c>
      <c r="B4" s="100" t="s">
        <v>6130</v>
      </c>
      <c r="C4" s="100" t="s">
        <v>6130</v>
      </c>
    </row>
    <row r="5">
      <c r="A5" s="95" t="s">
        <v>6919</v>
      </c>
      <c r="B5" s="100" t="s">
        <v>6145</v>
      </c>
      <c r="C5" s="100" t="s">
        <v>6145</v>
      </c>
    </row>
    <row r="6">
      <c r="A6" s="95"/>
      <c r="B6" s="95"/>
      <c r="C6" s="95"/>
    </row>
    <row r="7">
      <c r="A7" s="95"/>
      <c r="B7" s="95"/>
      <c r="C7" s="95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6909</v>
      </c>
      <c r="B2" s="98" t="s">
        <v>6123</v>
      </c>
      <c r="C2" s="98" t="s">
        <v>6123</v>
      </c>
    </row>
    <row r="3">
      <c r="A3" s="108" t="s">
        <v>6913</v>
      </c>
      <c r="B3" s="100" t="s">
        <v>6127</v>
      </c>
      <c r="C3" s="100" t="s">
        <v>6127</v>
      </c>
    </row>
    <row r="4">
      <c r="A4" s="95" t="s">
        <v>6920</v>
      </c>
      <c r="B4" s="100" t="s">
        <v>6130</v>
      </c>
      <c r="C4" s="100" t="s">
        <v>6130</v>
      </c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6921</v>
      </c>
      <c r="B2" s="98"/>
      <c r="C2" s="98" t="s">
        <v>6123</v>
      </c>
    </row>
    <row r="3">
      <c r="A3" s="108" t="s">
        <v>6913</v>
      </c>
      <c r="B3" s="100"/>
      <c r="C3" s="100" t="s">
        <v>6127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6922</v>
      </c>
      <c r="B2" s="98" t="s">
        <v>6123</v>
      </c>
      <c r="C2" s="98" t="s">
        <v>6123</v>
      </c>
    </row>
    <row r="3">
      <c r="A3" s="108" t="s">
        <v>6923</v>
      </c>
      <c r="B3" s="100" t="s">
        <v>6127</v>
      </c>
      <c r="C3" s="100" t="s">
        <v>6127</v>
      </c>
    </row>
    <row r="4">
      <c r="A4" s="95" t="s">
        <v>6924</v>
      </c>
      <c r="B4" s="100" t="s">
        <v>6130</v>
      </c>
      <c r="C4" s="100"/>
    </row>
    <row r="5">
      <c r="A5" s="95" t="s">
        <v>2641</v>
      </c>
      <c r="B5" s="95" t="s">
        <v>6145</v>
      </c>
      <c r="C5" s="95"/>
    </row>
    <row r="6">
      <c r="A6" s="95" t="s">
        <v>6925</v>
      </c>
      <c r="B6" s="95" t="s">
        <v>6184</v>
      </c>
      <c r="C6" s="95"/>
    </row>
    <row r="7">
      <c r="A7" s="95" t="s">
        <v>2671</v>
      </c>
      <c r="B7" s="95" t="s">
        <v>6186</v>
      </c>
      <c r="C7" s="95" t="s">
        <v>6194</v>
      </c>
    </row>
    <row r="8">
      <c r="A8" s="95"/>
      <c r="B8" s="95"/>
      <c r="C8" s="95"/>
    </row>
    <row r="9">
      <c r="A9" s="95"/>
      <c r="B9" s="95"/>
      <c r="C9" s="95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6926</v>
      </c>
      <c r="B2" s="98" t="s">
        <v>6123</v>
      </c>
      <c r="C2" s="98" t="s">
        <v>6123</v>
      </c>
    </row>
    <row r="3">
      <c r="A3" s="108" t="s">
        <v>6927</v>
      </c>
      <c r="B3" s="100" t="s">
        <v>6127</v>
      </c>
      <c r="C3" s="100"/>
    </row>
    <row r="4">
      <c r="A4" s="95" t="s">
        <v>6928</v>
      </c>
      <c r="B4" s="100" t="s">
        <v>6130</v>
      </c>
      <c r="C4" s="100"/>
    </row>
    <row r="5">
      <c r="A5" s="95" t="s">
        <v>6929</v>
      </c>
      <c r="B5" s="95" t="s">
        <v>6145</v>
      </c>
      <c r="C5" s="95" t="s">
        <v>6127</v>
      </c>
    </row>
    <row r="6">
      <c r="A6" s="95" t="s">
        <v>2671</v>
      </c>
      <c r="B6" s="95" t="s">
        <v>6184</v>
      </c>
      <c r="C6" s="95" t="s">
        <v>6194</v>
      </c>
    </row>
    <row r="7">
      <c r="A7" s="95" t="s">
        <v>6930</v>
      </c>
      <c r="B7" s="95"/>
      <c r="C7" s="95" t="s">
        <v>6130</v>
      </c>
    </row>
    <row r="8">
      <c r="A8" s="95" t="s">
        <v>6931</v>
      </c>
      <c r="B8" s="95"/>
      <c r="C8" s="95" t="s">
        <v>6145</v>
      </c>
    </row>
    <row r="9">
      <c r="A9" s="95" t="s">
        <v>6932</v>
      </c>
      <c r="B9" s="95"/>
      <c r="C9" s="95" t="s">
        <v>6184</v>
      </c>
    </row>
    <row r="10">
      <c r="A10" s="95"/>
      <c r="B10" s="95"/>
      <c r="C10" s="95"/>
    </row>
    <row r="11">
      <c r="A11" s="95"/>
      <c r="B11" s="95"/>
      <c r="C11" s="95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1111</v>
      </c>
      <c r="B2" s="98"/>
      <c r="C2" s="98" t="s">
        <v>6123</v>
      </c>
    </row>
    <row r="3">
      <c r="A3" s="108" t="s">
        <v>6923</v>
      </c>
      <c r="B3" s="100"/>
      <c r="C3" s="100" t="s">
        <v>6127</v>
      </c>
    </row>
    <row r="4">
      <c r="A4" s="95" t="s">
        <v>6933</v>
      </c>
      <c r="B4" s="100"/>
      <c r="C4" s="100" t="s">
        <v>6130</v>
      </c>
    </row>
    <row r="5">
      <c r="A5" s="95" t="s">
        <v>6600</v>
      </c>
      <c r="B5" s="95"/>
      <c r="C5" s="95" t="s">
        <v>6145</v>
      </c>
    </row>
    <row r="6">
      <c r="A6" s="95" t="s">
        <v>4189</v>
      </c>
      <c r="B6" s="95"/>
      <c r="C6" s="95" t="s">
        <v>6184</v>
      </c>
    </row>
    <row r="7">
      <c r="A7" s="95" t="s">
        <v>2671</v>
      </c>
      <c r="B7" s="95"/>
      <c r="C7" s="95" t="s">
        <v>6194</v>
      </c>
    </row>
    <row r="8">
      <c r="A8" s="95"/>
      <c r="B8" s="95"/>
      <c r="C8" s="95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6934</v>
      </c>
      <c r="B2" s="104" t="s">
        <v>6123</v>
      </c>
      <c r="C2" s="104" t="s">
        <v>6577</v>
      </c>
    </row>
    <row r="3">
      <c r="A3" s="108" t="s">
        <v>6935</v>
      </c>
      <c r="B3" s="105" t="s">
        <v>6127</v>
      </c>
      <c r="C3" s="105" t="s">
        <v>6579</v>
      </c>
    </row>
    <row r="4">
      <c r="A4" s="95" t="s">
        <v>6936</v>
      </c>
      <c r="B4" s="105" t="s">
        <v>6616</v>
      </c>
      <c r="C4" s="105" t="s">
        <v>6937</v>
      </c>
    </row>
    <row r="5">
      <c r="A5" s="95" t="s">
        <v>6938</v>
      </c>
      <c r="B5" s="95" t="s">
        <v>6618</v>
      </c>
      <c r="C5" s="95" t="s">
        <v>6939</v>
      </c>
    </row>
    <row r="6">
      <c r="A6" s="95" t="s">
        <v>6940</v>
      </c>
      <c r="B6" s="95" t="s">
        <v>6246</v>
      </c>
      <c r="C6" s="95" t="s">
        <v>6941</v>
      </c>
    </row>
    <row r="7">
      <c r="A7" s="95" t="s">
        <v>6942</v>
      </c>
      <c r="B7" s="95" t="s">
        <v>6248</v>
      </c>
      <c r="C7" s="95" t="s">
        <v>6943</v>
      </c>
    </row>
    <row r="8">
      <c r="A8" s="95" t="s">
        <v>6944</v>
      </c>
      <c r="B8" s="95" t="s">
        <v>6264</v>
      </c>
      <c r="C8" s="95" t="s">
        <v>6945</v>
      </c>
    </row>
    <row r="9">
      <c r="A9" s="95" t="s">
        <v>6946</v>
      </c>
      <c r="B9" s="95" t="s">
        <v>6266</v>
      </c>
      <c r="C9" s="95" t="s">
        <v>6947</v>
      </c>
    </row>
    <row r="10">
      <c r="A10" s="95" t="s">
        <v>6948</v>
      </c>
      <c r="B10" s="95" t="s">
        <v>6272</v>
      </c>
      <c r="C10" s="95" t="s">
        <v>6949</v>
      </c>
    </row>
    <row r="11">
      <c r="A11" s="95" t="s">
        <v>6950</v>
      </c>
      <c r="B11" s="95" t="s">
        <v>6951</v>
      </c>
      <c r="C11" s="95" t="s">
        <v>6952</v>
      </c>
    </row>
    <row r="12">
      <c r="A12" s="95" t="s">
        <v>6953</v>
      </c>
      <c r="B12" s="95" t="s">
        <v>6954</v>
      </c>
      <c r="C12" s="95" t="s">
        <v>6955</v>
      </c>
    </row>
    <row r="13">
      <c r="A13" s="95" t="s">
        <v>6956</v>
      </c>
      <c r="B13" s="95" t="s">
        <v>6957</v>
      </c>
      <c r="C13" s="95" t="s">
        <v>6958</v>
      </c>
    </row>
    <row r="14">
      <c r="A14" s="95" t="s">
        <v>6959</v>
      </c>
      <c r="B14" s="95" t="s">
        <v>6290</v>
      </c>
      <c r="C14" s="115" t="s">
        <v>6960</v>
      </c>
    </row>
    <row r="15">
      <c r="A15" s="95" t="s">
        <v>6961</v>
      </c>
      <c r="B15" s="95" t="s">
        <v>6292</v>
      </c>
      <c r="C15" s="115" t="s">
        <v>6962</v>
      </c>
    </row>
    <row r="16">
      <c r="A16" s="95" t="s">
        <v>6963</v>
      </c>
      <c r="B16" s="95" t="s">
        <v>6298</v>
      </c>
      <c r="C16" s="115" t="s">
        <v>6964</v>
      </c>
    </row>
    <row r="17">
      <c r="A17" s="95" t="s">
        <v>6965</v>
      </c>
      <c r="B17" s="95" t="s">
        <v>6300</v>
      </c>
      <c r="C17" s="115" t="s">
        <v>6966</v>
      </c>
    </row>
    <row r="18">
      <c r="A18" s="95" t="s">
        <v>6967</v>
      </c>
      <c r="B18" s="95" t="s">
        <v>6968</v>
      </c>
      <c r="C18" s="115" t="s">
        <v>6969</v>
      </c>
    </row>
    <row r="19">
      <c r="A19" s="95" t="s">
        <v>6970</v>
      </c>
      <c r="B19" s="95" t="s">
        <v>6971</v>
      </c>
      <c r="C19" s="115" t="s">
        <v>6972</v>
      </c>
    </row>
    <row r="20">
      <c r="A20" s="95" t="s">
        <v>6973</v>
      </c>
      <c r="B20" s="95" t="s">
        <v>6974</v>
      </c>
      <c r="C20" s="115" t="s">
        <v>6975</v>
      </c>
    </row>
    <row r="21">
      <c r="A21" s="95" t="s">
        <v>6976</v>
      </c>
      <c r="B21" s="95" t="s">
        <v>6977</v>
      </c>
      <c r="C21" s="115" t="s">
        <v>6978</v>
      </c>
    </row>
    <row r="22">
      <c r="A22" s="95" t="s">
        <v>6979</v>
      </c>
      <c r="B22" s="95" t="s">
        <v>6312</v>
      </c>
      <c r="C22" s="115" t="s">
        <v>6312</v>
      </c>
    </row>
    <row r="23">
      <c r="A23" s="95" t="s">
        <v>6980</v>
      </c>
      <c r="B23" s="95" t="s">
        <v>6314</v>
      </c>
      <c r="C23" s="115" t="s">
        <v>6314</v>
      </c>
    </row>
    <row r="24">
      <c r="A24" s="95" t="s">
        <v>6981</v>
      </c>
      <c r="B24" s="95" t="s">
        <v>6469</v>
      </c>
      <c r="C24" s="115" t="s">
        <v>6469</v>
      </c>
    </row>
    <row r="25">
      <c r="A25" s="95" t="s">
        <v>6982</v>
      </c>
      <c r="B25" s="95" t="s">
        <v>6471</v>
      </c>
      <c r="C25" s="115" t="s">
        <v>6471</v>
      </c>
    </row>
    <row r="26">
      <c r="A26" s="95" t="s">
        <v>6983</v>
      </c>
      <c r="B26" s="95" t="s">
        <v>6368</v>
      </c>
      <c r="C26" s="115" t="s">
        <v>6368</v>
      </c>
    </row>
    <row r="27">
      <c r="A27" s="95" t="s">
        <v>6984</v>
      </c>
      <c r="B27" s="95" t="s">
        <v>6493</v>
      </c>
      <c r="C27" s="115" t="s">
        <v>6493</v>
      </c>
    </row>
    <row r="28">
      <c r="A28" s="95" t="s">
        <v>6985</v>
      </c>
      <c r="B28" s="95" t="s">
        <v>6495</v>
      </c>
      <c r="C28" s="115" t="s">
        <v>6495</v>
      </c>
    </row>
    <row r="29">
      <c r="A29" s="95" t="s">
        <v>6986</v>
      </c>
      <c r="B29" s="95" t="s">
        <v>6497</v>
      </c>
      <c r="C29" s="115" t="s">
        <v>6497</v>
      </c>
    </row>
    <row r="30">
      <c r="A30" s="95" t="s">
        <v>6987</v>
      </c>
      <c r="B30" s="95" t="s">
        <v>6501</v>
      </c>
      <c r="C30" s="115" t="s">
        <v>6501</v>
      </c>
    </row>
    <row r="31">
      <c r="A31" s="95" t="s">
        <v>6988</v>
      </c>
      <c r="B31" s="95" t="s">
        <v>6503</v>
      </c>
      <c r="C31" s="115" t="s">
        <v>6503</v>
      </c>
    </row>
    <row r="32">
      <c r="A32" s="95" t="s">
        <v>6178</v>
      </c>
      <c r="B32" s="95" t="s">
        <v>6554</v>
      </c>
      <c r="C32" s="115" t="s">
        <v>6554</v>
      </c>
    </row>
    <row r="33">
      <c r="A33" s="95"/>
      <c r="B33" s="95"/>
      <c r="C33" s="95"/>
    </row>
    <row r="34">
      <c r="A34" s="95"/>
      <c r="B34" s="95"/>
      <c r="C34" s="95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6989</v>
      </c>
      <c r="B2" s="108" t="s">
        <v>6124</v>
      </c>
      <c r="C2" s="104" t="s">
        <v>6123</v>
      </c>
      <c r="D2" s="104" t="s">
        <v>6123</v>
      </c>
    </row>
    <row r="3">
      <c r="A3" s="108" t="s">
        <v>6990</v>
      </c>
      <c r="B3" s="108" t="s">
        <v>6175</v>
      </c>
      <c r="C3" s="105" t="s">
        <v>6127</v>
      </c>
      <c r="D3" s="105" t="s">
        <v>6127</v>
      </c>
    </row>
    <row r="4">
      <c r="A4" s="95" t="s">
        <v>6991</v>
      </c>
      <c r="B4" s="109" t="s">
        <v>6123</v>
      </c>
      <c r="C4" s="105" t="s">
        <v>6130</v>
      </c>
      <c r="D4" s="105" t="s">
        <v>6130</v>
      </c>
    </row>
    <row r="5">
      <c r="A5" s="95" t="s">
        <v>6992</v>
      </c>
      <c r="B5" s="95" t="s">
        <v>6124</v>
      </c>
      <c r="C5" s="95"/>
      <c r="D5" s="95" t="s">
        <v>6145</v>
      </c>
    </row>
    <row r="6">
      <c r="A6" s="95"/>
      <c r="B6" s="95"/>
      <c r="C6" s="95"/>
      <c r="D6" s="9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2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6141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6142</v>
      </c>
      <c r="B4" s="95" t="s">
        <v>6130</v>
      </c>
      <c r="C4" s="95" t="s">
        <v>6127</v>
      </c>
      <c r="D4" s="95" t="s">
        <v>6130</v>
      </c>
      <c r="E4" s="95" t="s">
        <v>6130</v>
      </c>
    </row>
    <row r="5">
      <c r="A5" s="78" t="s">
        <v>6143</v>
      </c>
      <c r="B5" s="95" t="s">
        <v>6130</v>
      </c>
      <c r="C5" s="95" t="s">
        <v>6130</v>
      </c>
      <c r="D5" s="95" t="s">
        <v>6131</v>
      </c>
      <c r="E5" s="95" t="s">
        <v>6131</v>
      </c>
    </row>
    <row r="6">
      <c r="A6" s="78" t="s">
        <v>6144</v>
      </c>
      <c r="B6" s="95" t="s">
        <v>6130</v>
      </c>
      <c r="C6" s="95" t="s">
        <v>6145</v>
      </c>
      <c r="D6" s="95" t="s">
        <v>6133</v>
      </c>
      <c r="E6" s="95" t="s">
        <v>6133</v>
      </c>
    </row>
    <row r="7">
      <c r="A7" s="78"/>
      <c r="B7" s="95"/>
      <c r="C7" s="95"/>
      <c r="D7" s="95"/>
      <c r="E7" s="95"/>
    </row>
    <row r="8">
      <c r="A8" s="78"/>
      <c r="B8" s="95"/>
      <c r="C8" s="95"/>
      <c r="D8" s="95"/>
      <c r="E8" s="95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6993</v>
      </c>
      <c r="B2" s="108" t="s">
        <v>6123</v>
      </c>
      <c r="C2" s="104" t="s">
        <v>6123</v>
      </c>
      <c r="D2" s="104" t="s">
        <v>6123</v>
      </c>
    </row>
    <row r="3">
      <c r="A3" s="108" t="s">
        <v>6994</v>
      </c>
      <c r="B3" s="108" t="s">
        <v>6127</v>
      </c>
      <c r="C3" s="105" t="s">
        <v>6127</v>
      </c>
      <c r="D3" s="105" t="s">
        <v>6127</v>
      </c>
    </row>
    <row r="4">
      <c r="A4" s="95" t="s">
        <v>6995</v>
      </c>
      <c r="B4" s="109" t="s">
        <v>6130</v>
      </c>
      <c r="C4" s="105" t="s">
        <v>6130</v>
      </c>
      <c r="D4" s="105" t="s">
        <v>6130</v>
      </c>
    </row>
    <row r="5">
      <c r="A5" s="95" t="s">
        <v>6996</v>
      </c>
      <c r="B5" s="95" t="s">
        <v>6145</v>
      </c>
      <c r="C5" s="95" t="s">
        <v>6145</v>
      </c>
      <c r="D5" s="95" t="s">
        <v>6145</v>
      </c>
    </row>
    <row r="6">
      <c r="A6" s="95" t="s">
        <v>6997</v>
      </c>
      <c r="B6" s="95" t="s">
        <v>6184</v>
      </c>
      <c r="C6" s="95" t="s">
        <v>6184</v>
      </c>
      <c r="D6" s="95" t="s">
        <v>6184</v>
      </c>
    </row>
    <row r="7">
      <c r="A7" s="95" t="s">
        <v>6998</v>
      </c>
      <c r="B7" s="95" t="s">
        <v>6186</v>
      </c>
      <c r="C7" s="95" t="s">
        <v>6186</v>
      </c>
      <c r="D7" s="95" t="s">
        <v>6186</v>
      </c>
    </row>
    <row r="8">
      <c r="A8" s="95" t="s">
        <v>6999</v>
      </c>
      <c r="B8" s="95" t="s">
        <v>6188</v>
      </c>
      <c r="C8" s="95" t="s">
        <v>6188</v>
      </c>
      <c r="D8" s="95" t="s">
        <v>6188</v>
      </c>
    </row>
    <row r="9">
      <c r="A9" s="95" t="s">
        <v>7000</v>
      </c>
      <c r="B9" s="95" t="s">
        <v>6189</v>
      </c>
      <c r="C9" s="95" t="s">
        <v>6189</v>
      </c>
      <c r="D9" s="95" t="s">
        <v>6189</v>
      </c>
    </row>
    <row r="10">
      <c r="A10" s="95"/>
      <c r="B10" s="95"/>
      <c r="C10" s="95"/>
      <c r="D10" s="95"/>
    </row>
    <row r="11">
      <c r="A11" s="95"/>
      <c r="B11" s="95"/>
      <c r="C11" s="95"/>
      <c r="D11" s="95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7001</v>
      </c>
      <c r="B2" s="104" t="s">
        <v>6123</v>
      </c>
      <c r="C2" s="104" t="s">
        <v>6123</v>
      </c>
    </row>
    <row r="3">
      <c r="A3" s="108" t="s">
        <v>7002</v>
      </c>
      <c r="B3" s="105" t="s">
        <v>6127</v>
      </c>
      <c r="C3" s="105" t="s">
        <v>6127</v>
      </c>
    </row>
    <row r="4">
      <c r="A4" s="95" t="s">
        <v>2671</v>
      </c>
      <c r="B4" s="105" t="s">
        <v>6130</v>
      </c>
      <c r="C4" s="105" t="s">
        <v>6130</v>
      </c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7003</v>
      </c>
      <c r="B2" s="104" t="s">
        <v>6123</v>
      </c>
      <c r="C2" s="104" t="s">
        <v>6123</v>
      </c>
    </row>
    <row r="3">
      <c r="A3" s="108" t="s">
        <v>7004</v>
      </c>
      <c r="B3" s="105" t="s">
        <v>6127</v>
      </c>
      <c r="C3" s="105" t="s">
        <v>6127</v>
      </c>
    </row>
    <row r="4">
      <c r="A4" s="95" t="s">
        <v>7005</v>
      </c>
      <c r="B4" s="105" t="s">
        <v>6130</v>
      </c>
      <c r="C4" s="105" t="s">
        <v>6130</v>
      </c>
    </row>
    <row r="5">
      <c r="A5" s="95" t="s">
        <v>7006</v>
      </c>
      <c r="B5" s="95" t="s">
        <v>6145</v>
      </c>
      <c r="C5" s="95"/>
    </row>
    <row r="6">
      <c r="A6" s="95"/>
      <c r="B6" s="95"/>
      <c r="C6" s="95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88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08" t="s">
        <v>7007</v>
      </c>
      <c r="B2" s="108" t="s">
        <v>6123</v>
      </c>
      <c r="C2" s="104" t="s">
        <v>6123</v>
      </c>
      <c r="D2" s="104" t="s">
        <v>6123</v>
      </c>
    </row>
    <row r="3">
      <c r="A3" s="108" t="s">
        <v>7008</v>
      </c>
      <c r="B3" s="108" t="s">
        <v>6124</v>
      </c>
      <c r="C3" s="105" t="s">
        <v>6127</v>
      </c>
      <c r="D3" s="105" t="s">
        <v>6127</v>
      </c>
    </row>
    <row r="4">
      <c r="A4" s="95"/>
      <c r="B4" s="95"/>
      <c r="C4" s="95"/>
      <c r="D4" s="95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08" t="s">
        <v>7009</v>
      </c>
      <c r="B2" s="104" t="s">
        <v>6123</v>
      </c>
      <c r="C2" s="104" t="s">
        <v>6123</v>
      </c>
    </row>
    <row r="3">
      <c r="A3" s="108" t="s">
        <v>7010</v>
      </c>
      <c r="B3" s="105" t="s">
        <v>6127</v>
      </c>
      <c r="C3" s="105" t="s">
        <v>6127</v>
      </c>
    </row>
    <row r="4">
      <c r="A4" s="95" t="s">
        <v>7011</v>
      </c>
      <c r="B4" s="95" t="s">
        <v>6130</v>
      </c>
      <c r="C4" s="95" t="s">
        <v>6130</v>
      </c>
    </row>
    <row r="5">
      <c r="A5" s="95" t="s">
        <v>7012</v>
      </c>
      <c r="B5" s="95" t="s">
        <v>6145</v>
      </c>
      <c r="C5" s="95" t="s">
        <v>6145</v>
      </c>
    </row>
    <row r="6">
      <c r="A6" s="95" t="s">
        <v>2671</v>
      </c>
      <c r="B6" s="95" t="s">
        <v>6194</v>
      </c>
      <c r="C6" s="95" t="s">
        <v>6194</v>
      </c>
    </row>
    <row r="7">
      <c r="A7" s="95"/>
      <c r="B7" s="95"/>
      <c r="C7" s="95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7013</v>
      </c>
      <c r="B2" s="104" t="s">
        <v>6123</v>
      </c>
      <c r="C2" s="104" t="s">
        <v>6123</v>
      </c>
    </row>
    <row r="3">
      <c r="A3" s="108" t="s">
        <v>7014</v>
      </c>
      <c r="B3" s="105" t="s">
        <v>6127</v>
      </c>
      <c r="C3" s="105" t="s">
        <v>6127</v>
      </c>
    </row>
    <row r="4">
      <c r="A4" s="95" t="s">
        <v>7015</v>
      </c>
      <c r="B4" s="95" t="s">
        <v>6130</v>
      </c>
      <c r="C4" s="95" t="s">
        <v>6130</v>
      </c>
    </row>
    <row r="5">
      <c r="A5" s="95" t="s">
        <v>7016</v>
      </c>
      <c r="B5" s="95" t="s">
        <v>6145</v>
      </c>
      <c r="C5" s="95" t="s">
        <v>6145</v>
      </c>
    </row>
    <row r="6">
      <c r="A6" s="95" t="s">
        <v>7017</v>
      </c>
      <c r="B6" s="95" t="s">
        <v>6184</v>
      </c>
      <c r="C6" s="95" t="s">
        <v>6184</v>
      </c>
    </row>
    <row r="7">
      <c r="A7" s="95" t="s">
        <v>7018</v>
      </c>
      <c r="B7" s="95" t="s">
        <v>6186</v>
      </c>
      <c r="C7" s="95" t="s">
        <v>6186</v>
      </c>
    </row>
    <row r="8">
      <c r="A8" s="95" t="s">
        <v>7019</v>
      </c>
      <c r="B8" s="95" t="s">
        <v>6188</v>
      </c>
      <c r="C8" s="95" t="s">
        <v>6188</v>
      </c>
    </row>
    <row r="9">
      <c r="A9" s="95" t="s">
        <v>7020</v>
      </c>
      <c r="B9" s="95" t="s">
        <v>6189</v>
      </c>
      <c r="C9" s="95" t="s">
        <v>6189</v>
      </c>
    </row>
    <row r="10">
      <c r="A10" s="95" t="s">
        <v>7021</v>
      </c>
      <c r="B10" s="95" t="s">
        <v>6194</v>
      </c>
      <c r="C10" s="95" t="s">
        <v>6194</v>
      </c>
    </row>
    <row r="11">
      <c r="A11" s="95" t="s">
        <v>7022</v>
      </c>
      <c r="B11" s="95" t="s">
        <v>6614</v>
      </c>
      <c r="C11" s="95" t="s">
        <v>6614</v>
      </c>
    </row>
    <row r="12">
      <c r="A12" s="95" t="s">
        <v>7023</v>
      </c>
      <c r="B12" s="95" t="s">
        <v>6616</v>
      </c>
      <c r="C12" s="95" t="s">
        <v>6616</v>
      </c>
    </row>
    <row r="13">
      <c r="A13" s="95" t="s">
        <v>7024</v>
      </c>
      <c r="B13" s="95" t="s">
        <v>6618</v>
      </c>
      <c r="C13" s="95" t="s">
        <v>6618</v>
      </c>
    </row>
    <row r="14">
      <c r="A14" s="95" t="s">
        <v>7025</v>
      </c>
      <c r="B14" s="95" t="s">
        <v>6620</v>
      </c>
      <c r="C14" s="95" t="s">
        <v>6620</v>
      </c>
    </row>
    <row r="15">
      <c r="A15" s="95" t="s">
        <v>7026</v>
      </c>
      <c r="B15" s="95" t="s">
        <v>6622</v>
      </c>
      <c r="C15" s="95" t="s">
        <v>6622</v>
      </c>
    </row>
    <row r="16">
      <c r="A16" s="95" t="s">
        <v>7027</v>
      </c>
      <c r="B16" s="95" t="s">
        <v>6624</v>
      </c>
      <c r="C16" s="95" t="s">
        <v>6624</v>
      </c>
    </row>
    <row r="17">
      <c r="A17" s="95" t="s">
        <v>7028</v>
      </c>
      <c r="B17" s="95" t="s">
        <v>6626</v>
      </c>
      <c r="C17" s="95" t="s">
        <v>6626</v>
      </c>
    </row>
    <row r="18">
      <c r="A18" s="95" t="s">
        <v>7029</v>
      </c>
      <c r="B18" s="95" t="s">
        <v>6628</v>
      </c>
      <c r="C18" s="95" t="s">
        <v>6628</v>
      </c>
    </row>
    <row r="19">
      <c r="A19" s="95" t="s">
        <v>7030</v>
      </c>
      <c r="B19" s="95" t="s">
        <v>6630</v>
      </c>
      <c r="C19" s="95" t="s">
        <v>6630</v>
      </c>
    </row>
    <row r="20">
      <c r="A20" s="95" t="s">
        <v>7012</v>
      </c>
      <c r="B20" s="95" t="s">
        <v>6632</v>
      </c>
      <c r="C20" s="95" t="s">
        <v>6632</v>
      </c>
    </row>
    <row r="21">
      <c r="A21" s="95" t="s">
        <v>2671</v>
      </c>
      <c r="B21" s="95" t="s">
        <v>6244</v>
      </c>
      <c r="C21" s="95" t="s">
        <v>6244</v>
      </c>
    </row>
    <row r="22">
      <c r="A22" s="95" t="s">
        <v>7031</v>
      </c>
      <c r="B22" s="95" t="s">
        <v>6246</v>
      </c>
      <c r="C22" s="95" t="s">
        <v>6246</v>
      </c>
    </row>
    <row r="23">
      <c r="A23" s="95" t="s">
        <v>7032</v>
      </c>
      <c r="B23" s="95" t="s">
        <v>6248</v>
      </c>
      <c r="C23" s="95" t="s">
        <v>6248</v>
      </c>
    </row>
    <row r="24">
      <c r="A24" s="95" t="s">
        <v>7033</v>
      </c>
      <c r="B24" s="95" t="s">
        <v>6250</v>
      </c>
      <c r="C24" s="95" t="s">
        <v>6250</v>
      </c>
    </row>
    <row r="25">
      <c r="A25" s="95" t="s">
        <v>7034</v>
      </c>
      <c r="B25" s="95" t="s">
        <v>6252</v>
      </c>
      <c r="C25" s="95" t="s">
        <v>6252</v>
      </c>
    </row>
    <row r="26">
      <c r="A26" s="95"/>
      <c r="B26" s="95"/>
      <c r="C26" s="95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6989</v>
      </c>
      <c r="B2" s="104" t="s">
        <v>6123</v>
      </c>
      <c r="C2" s="104" t="s">
        <v>6123</v>
      </c>
    </row>
    <row r="3">
      <c r="A3" s="108" t="s">
        <v>7035</v>
      </c>
      <c r="B3" s="105" t="s">
        <v>6127</v>
      </c>
      <c r="C3" s="105" t="s">
        <v>6127</v>
      </c>
    </row>
    <row r="4">
      <c r="A4" s="95" t="s">
        <v>7036</v>
      </c>
      <c r="B4" s="95" t="s">
        <v>6130</v>
      </c>
      <c r="C4" s="95" t="s">
        <v>6130</v>
      </c>
    </row>
    <row r="5">
      <c r="A5" s="95"/>
      <c r="B5" s="95"/>
      <c r="C5" s="95"/>
    </row>
    <row r="6">
      <c r="A6" s="95"/>
      <c r="B6" s="95"/>
      <c r="C6" s="95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7037</v>
      </c>
      <c r="B2" s="104" t="s">
        <v>6123</v>
      </c>
      <c r="C2" s="104" t="s">
        <v>6123</v>
      </c>
    </row>
    <row r="3">
      <c r="A3" s="108" t="s">
        <v>7038</v>
      </c>
      <c r="B3" s="105" t="s">
        <v>6127</v>
      </c>
      <c r="C3" s="105" t="s">
        <v>6127</v>
      </c>
    </row>
    <row r="4">
      <c r="A4" s="95" t="s">
        <v>7039</v>
      </c>
      <c r="B4" s="95" t="s">
        <v>6130</v>
      </c>
      <c r="C4" s="95" t="s">
        <v>6130</v>
      </c>
    </row>
    <row r="5">
      <c r="A5" s="95" t="s">
        <v>2671</v>
      </c>
      <c r="B5" s="95" t="s">
        <v>6145</v>
      </c>
      <c r="C5" s="95" t="s">
        <v>6145</v>
      </c>
    </row>
    <row r="6">
      <c r="A6" s="95"/>
      <c r="B6" s="95"/>
      <c r="C6" s="95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9.6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7040</v>
      </c>
      <c r="B2" s="104" t="s">
        <v>6123</v>
      </c>
      <c r="C2" s="104" t="s">
        <v>6123</v>
      </c>
      <c r="D2" s="104" t="s">
        <v>6123</v>
      </c>
    </row>
    <row r="3">
      <c r="A3" s="108" t="s">
        <v>7041</v>
      </c>
      <c r="B3" s="108" t="s">
        <v>6127</v>
      </c>
      <c r="C3" s="105" t="s">
        <v>6127</v>
      </c>
      <c r="D3" s="105" t="s">
        <v>6127</v>
      </c>
    </row>
    <row r="4">
      <c r="A4" s="95"/>
      <c r="B4" s="95"/>
      <c r="C4" s="95"/>
      <c r="D4" s="95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9.6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7042</v>
      </c>
      <c r="B2" s="104" t="s">
        <v>6123</v>
      </c>
      <c r="C2" s="104"/>
      <c r="D2" s="104" t="s">
        <v>6123</v>
      </c>
    </row>
    <row r="3">
      <c r="A3" s="108" t="s">
        <v>7043</v>
      </c>
      <c r="B3" s="108" t="s">
        <v>6127</v>
      </c>
      <c r="C3" s="105"/>
      <c r="D3" s="105" t="s">
        <v>6127</v>
      </c>
    </row>
    <row r="4">
      <c r="A4" s="95"/>
      <c r="B4" s="95"/>
      <c r="C4" s="95"/>
      <c r="D4" s="9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95" t="s">
        <v>6120</v>
      </c>
      <c r="C1" s="95" t="s">
        <v>6121</v>
      </c>
      <c r="D1" s="95" t="s">
        <v>11</v>
      </c>
      <c r="E1" s="78" t="s">
        <v>12</v>
      </c>
    </row>
    <row r="2">
      <c r="A2" s="78" t="s">
        <v>6122</v>
      </c>
      <c r="B2" s="95" t="s">
        <v>6123</v>
      </c>
      <c r="C2" s="95" t="s">
        <v>6124</v>
      </c>
      <c r="D2" s="95" t="s">
        <v>6123</v>
      </c>
      <c r="E2" s="95" t="s">
        <v>6123</v>
      </c>
    </row>
    <row r="3">
      <c r="A3" s="78" t="s">
        <v>6146</v>
      </c>
      <c r="B3" s="95" t="s">
        <v>6127</v>
      </c>
      <c r="C3" s="95" t="s">
        <v>6123</v>
      </c>
      <c r="D3" s="95" t="s">
        <v>6127</v>
      </c>
      <c r="E3" s="95" t="s">
        <v>6127</v>
      </c>
    </row>
    <row r="4">
      <c r="A4" s="78" t="s">
        <v>6147</v>
      </c>
      <c r="B4" s="95" t="s">
        <v>6130</v>
      </c>
      <c r="C4" s="95" t="s">
        <v>6127</v>
      </c>
      <c r="D4" s="95" t="s">
        <v>6130</v>
      </c>
      <c r="E4" s="95" t="s">
        <v>6130</v>
      </c>
    </row>
    <row r="5">
      <c r="B5" s="96"/>
      <c r="C5" s="96"/>
      <c r="D5" s="96"/>
    </row>
    <row r="6">
      <c r="B6" s="96"/>
      <c r="C6" s="96"/>
      <c r="D6" s="96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95" t="s">
        <v>6119</v>
      </c>
      <c r="B1" s="95" t="s">
        <v>11</v>
      </c>
      <c r="C1" s="95" t="s">
        <v>12</v>
      </c>
    </row>
    <row r="2">
      <c r="A2" s="116" t="s">
        <v>7044</v>
      </c>
      <c r="B2" s="104" t="s">
        <v>6123</v>
      </c>
      <c r="C2" s="104" t="s">
        <v>6123</v>
      </c>
    </row>
    <row r="3">
      <c r="A3" s="108" t="s">
        <v>7045</v>
      </c>
      <c r="B3" s="105" t="s">
        <v>6127</v>
      </c>
      <c r="C3" s="105" t="s">
        <v>6127</v>
      </c>
    </row>
    <row r="4">
      <c r="A4" s="95" t="s">
        <v>4189</v>
      </c>
      <c r="B4" s="95" t="s">
        <v>6130</v>
      </c>
      <c r="C4" s="95" t="s">
        <v>6130</v>
      </c>
    </row>
    <row r="5">
      <c r="A5" s="95" t="s">
        <v>7046</v>
      </c>
      <c r="B5" s="95" t="s">
        <v>6145</v>
      </c>
      <c r="C5" s="95" t="s">
        <v>6145</v>
      </c>
    </row>
    <row r="6">
      <c r="A6" s="95" t="s">
        <v>7047</v>
      </c>
      <c r="B6" s="95" t="s">
        <v>6184</v>
      </c>
      <c r="C6" s="95" t="s">
        <v>6184</v>
      </c>
    </row>
    <row r="7">
      <c r="A7" s="95" t="s">
        <v>7048</v>
      </c>
      <c r="B7" s="95" t="s">
        <v>6186</v>
      </c>
      <c r="C7" s="95" t="s">
        <v>6186</v>
      </c>
    </row>
    <row r="8">
      <c r="A8" s="95" t="s">
        <v>2671</v>
      </c>
      <c r="B8" s="95" t="s">
        <v>6188</v>
      </c>
      <c r="C8" s="95" t="s">
        <v>6188</v>
      </c>
    </row>
    <row r="9">
      <c r="A9" s="95" t="s">
        <v>6142</v>
      </c>
      <c r="B9" s="95" t="s">
        <v>6189</v>
      </c>
      <c r="C9" s="95" t="s">
        <v>6189</v>
      </c>
    </row>
    <row r="10">
      <c r="A10" s="95" t="s">
        <v>7049</v>
      </c>
      <c r="B10" s="95" t="s">
        <v>6194</v>
      </c>
      <c r="C10" s="95" t="s">
        <v>6194</v>
      </c>
    </row>
    <row r="11">
      <c r="A11" s="95" t="s">
        <v>7050</v>
      </c>
      <c r="B11" s="95" t="s">
        <v>6614</v>
      </c>
      <c r="C11" s="95" t="s">
        <v>6614</v>
      </c>
    </row>
    <row r="12">
      <c r="A12" s="95" t="s">
        <v>7051</v>
      </c>
      <c r="B12" s="95" t="s">
        <v>6616</v>
      </c>
      <c r="C12" s="95" t="s">
        <v>6616</v>
      </c>
    </row>
    <row r="13">
      <c r="A13" s="95" t="s">
        <v>7052</v>
      </c>
      <c r="B13" s="95" t="s">
        <v>6618</v>
      </c>
      <c r="C13" s="95" t="s">
        <v>6618</v>
      </c>
    </row>
    <row r="14">
      <c r="A14" s="95" t="s">
        <v>7053</v>
      </c>
      <c r="B14" s="95" t="s">
        <v>6620</v>
      </c>
      <c r="C14" s="95" t="s">
        <v>6620</v>
      </c>
    </row>
    <row r="15">
      <c r="A15" s="95" t="s">
        <v>7054</v>
      </c>
      <c r="B15" s="95" t="s">
        <v>6622</v>
      </c>
      <c r="C15" s="95" t="s">
        <v>6622</v>
      </c>
    </row>
    <row r="16">
      <c r="A16" s="95"/>
      <c r="B16" s="95"/>
      <c r="C16" s="95"/>
    </row>
    <row r="17">
      <c r="A17" s="95"/>
      <c r="B17" s="95"/>
      <c r="C17" s="95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0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7055</v>
      </c>
      <c r="B2" s="104" t="s">
        <v>6123</v>
      </c>
      <c r="C2" s="104" t="s">
        <v>6123</v>
      </c>
      <c r="D2" s="104" t="s">
        <v>6123</v>
      </c>
    </row>
    <row r="3">
      <c r="A3" s="108" t="s">
        <v>6989</v>
      </c>
      <c r="B3" s="108" t="s">
        <v>6124</v>
      </c>
      <c r="C3" s="105" t="s">
        <v>6127</v>
      </c>
      <c r="D3" s="105" t="s">
        <v>6127</v>
      </c>
    </row>
    <row r="4">
      <c r="A4" s="95" t="s">
        <v>7056</v>
      </c>
      <c r="B4" s="95" t="s">
        <v>6175</v>
      </c>
      <c r="C4" s="95" t="s">
        <v>6130</v>
      </c>
      <c r="D4" s="95" t="s">
        <v>6130</v>
      </c>
    </row>
    <row r="5">
      <c r="A5" s="95" t="s">
        <v>7057</v>
      </c>
      <c r="B5" s="95"/>
      <c r="C5" s="95" t="s">
        <v>6145</v>
      </c>
      <c r="D5" s="95" t="s">
        <v>6145</v>
      </c>
    </row>
    <row r="6">
      <c r="A6" s="95"/>
      <c r="B6" s="95"/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1.0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6604</v>
      </c>
      <c r="B2" s="104" t="s">
        <v>6124</v>
      </c>
      <c r="C2" s="104" t="s">
        <v>6123</v>
      </c>
      <c r="D2" s="104" t="s">
        <v>6123</v>
      </c>
    </row>
    <row r="3">
      <c r="A3" s="108" t="s">
        <v>7058</v>
      </c>
      <c r="B3" s="108" t="s">
        <v>6123</v>
      </c>
      <c r="C3" s="105" t="s">
        <v>6127</v>
      </c>
      <c r="D3" s="105" t="s">
        <v>6127</v>
      </c>
    </row>
    <row r="4">
      <c r="A4" s="95" t="s">
        <v>7059</v>
      </c>
      <c r="B4" s="95" t="s">
        <v>6127</v>
      </c>
      <c r="C4" s="95" t="s">
        <v>6130</v>
      </c>
      <c r="D4" s="95" t="s">
        <v>6130</v>
      </c>
    </row>
    <row r="5">
      <c r="A5" s="95" t="s">
        <v>7060</v>
      </c>
      <c r="B5" s="95" t="s">
        <v>6130</v>
      </c>
      <c r="C5" s="95" t="s">
        <v>6145</v>
      </c>
      <c r="D5" s="95" t="s">
        <v>6145</v>
      </c>
    </row>
    <row r="6">
      <c r="A6" s="95" t="s">
        <v>7061</v>
      </c>
      <c r="B6" s="95" t="s">
        <v>6145</v>
      </c>
      <c r="C6" s="95" t="s">
        <v>6184</v>
      </c>
      <c r="D6" s="95" t="s">
        <v>6184</v>
      </c>
    </row>
    <row r="7">
      <c r="A7" s="95"/>
      <c r="B7" s="95"/>
      <c r="C7" s="95"/>
      <c r="D7" s="95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25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7062</v>
      </c>
      <c r="B2" s="104" t="s">
        <v>6124</v>
      </c>
      <c r="C2" s="104" t="s">
        <v>6123</v>
      </c>
      <c r="D2" s="104" t="s">
        <v>6123</v>
      </c>
    </row>
    <row r="3">
      <c r="A3" s="108" t="s">
        <v>7063</v>
      </c>
      <c r="B3" s="108" t="s">
        <v>6123</v>
      </c>
      <c r="C3" s="105" t="s">
        <v>6127</v>
      </c>
      <c r="D3" s="105" t="s">
        <v>6127</v>
      </c>
    </row>
    <row r="4">
      <c r="A4" s="95" t="s">
        <v>7064</v>
      </c>
      <c r="B4" s="95" t="s">
        <v>6175</v>
      </c>
      <c r="C4" s="95" t="s">
        <v>6130</v>
      </c>
      <c r="D4" s="95" t="s">
        <v>6130</v>
      </c>
    </row>
    <row r="5">
      <c r="A5" s="95" t="s">
        <v>6178</v>
      </c>
      <c r="B5" s="95"/>
      <c r="C5" s="95" t="s">
        <v>6145</v>
      </c>
      <c r="D5" s="95" t="s">
        <v>6145</v>
      </c>
    </row>
    <row r="6">
      <c r="A6" s="95"/>
      <c r="B6" s="95"/>
      <c r="C6" s="95"/>
      <c r="D6" s="95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38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7065</v>
      </c>
      <c r="B2" s="104" t="s">
        <v>6124</v>
      </c>
      <c r="C2" s="104" t="s">
        <v>6123</v>
      </c>
      <c r="D2" s="104" t="s">
        <v>6123</v>
      </c>
    </row>
    <row r="3">
      <c r="A3" s="108" t="s">
        <v>7066</v>
      </c>
      <c r="B3" s="108" t="s">
        <v>6123</v>
      </c>
      <c r="C3" s="105" t="s">
        <v>6127</v>
      </c>
      <c r="D3" s="105" t="s">
        <v>6127</v>
      </c>
    </row>
    <row r="4">
      <c r="A4" s="95"/>
      <c r="B4" s="95"/>
      <c r="C4" s="95"/>
      <c r="D4" s="95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5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7" t="s">
        <v>6591</v>
      </c>
      <c r="B2" s="109" t="s">
        <v>6124</v>
      </c>
      <c r="C2" s="109" t="s">
        <v>6124</v>
      </c>
      <c r="D2" s="109" t="s">
        <v>6124</v>
      </c>
    </row>
    <row r="3">
      <c r="A3" s="116" t="s">
        <v>7067</v>
      </c>
      <c r="B3" s="104" t="s">
        <v>6123</v>
      </c>
      <c r="C3" s="104" t="s">
        <v>6123</v>
      </c>
      <c r="D3" s="104" t="s">
        <v>6123</v>
      </c>
    </row>
    <row r="4">
      <c r="A4" s="108" t="s">
        <v>7068</v>
      </c>
      <c r="B4" s="108" t="s">
        <v>6123</v>
      </c>
      <c r="C4" s="105" t="s">
        <v>6127</v>
      </c>
      <c r="D4" s="105" t="s">
        <v>6127</v>
      </c>
    </row>
    <row r="5">
      <c r="A5" s="95" t="s">
        <v>7069</v>
      </c>
      <c r="B5" s="95" t="s">
        <v>6127</v>
      </c>
      <c r="C5" s="95" t="s">
        <v>6130</v>
      </c>
      <c r="D5" s="95" t="s">
        <v>6130</v>
      </c>
    </row>
    <row r="6">
      <c r="A6" s="95"/>
      <c r="B6" s="95"/>
      <c r="C6" s="95"/>
      <c r="D6" s="95"/>
    </row>
    <row r="7">
      <c r="A7" s="95"/>
      <c r="B7" s="95"/>
      <c r="C7" s="95"/>
      <c r="D7" s="95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25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7" t="s">
        <v>6604</v>
      </c>
      <c r="B2" s="109" t="s">
        <v>6124</v>
      </c>
      <c r="C2" s="109" t="s">
        <v>6123</v>
      </c>
      <c r="D2" s="109" t="s">
        <v>6123</v>
      </c>
    </row>
    <row r="3">
      <c r="A3" s="116" t="s">
        <v>7070</v>
      </c>
      <c r="B3" s="104" t="s">
        <v>6123</v>
      </c>
      <c r="C3" s="104" t="s">
        <v>6127</v>
      </c>
      <c r="D3" s="104" t="s">
        <v>6127</v>
      </c>
    </row>
    <row r="4">
      <c r="A4" s="108" t="s">
        <v>7071</v>
      </c>
      <c r="B4" s="108" t="s">
        <v>6127</v>
      </c>
      <c r="C4" s="105" t="s">
        <v>6130</v>
      </c>
      <c r="D4" s="10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0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6604</v>
      </c>
      <c r="B2" s="104" t="s">
        <v>6124</v>
      </c>
      <c r="C2" s="104" t="s">
        <v>6123</v>
      </c>
      <c r="D2" s="104" t="s">
        <v>6123</v>
      </c>
    </row>
    <row r="3">
      <c r="A3" s="108" t="s">
        <v>7072</v>
      </c>
      <c r="B3" s="108" t="s">
        <v>6175</v>
      </c>
      <c r="C3" s="105" t="s">
        <v>6127</v>
      </c>
      <c r="D3" s="105" t="s">
        <v>6127</v>
      </c>
    </row>
    <row r="4">
      <c r="A4" s="95" t="s">
        <v>7073</v>
      </c>
      <c r="B4" s="95" t="s">
        <v>6123</v>
      </c>
      <c r="C4" s="95" t="s">
        <v>6130</v>
      </c>
      <c r="D4" s="95" t="s">
        <v>6130</v>
      </c>
    </row>
    <row r="5">
      <c r="A5" s="95" t="s">
        <v>7074</v>
      </c>
      <c r="B5" s="95" t="s">
        <v>6175</v>
      </c>
      <c r="C5" s="95" t="s">
        <v>6145</v>
      </c>
      <c r="D5" s="95" t="s">
        <v>6145</v>
      </c>
    </row>
    <row r="6">
      <c r="A6" s="95" t="s">
        <v>7075</v>
      </c>
      <c r="B6" s="95" t="s">
        <v>6123</v>
      </c>
      <c r="C6" s="95" t="s">
        <v>6184</v>
      </c>
      <c r="D6" s="95" t="s">
        <v>6184</v>
      </c>
    </row>
    <row r="7">
      <c r="A7" s="95" t="s">
        <v>7076</v>
      </c>
      <c r="B7" s="95" t="s">
        <v>6123</v>
      </c>
      <c r="C7" s="95" t="s">
        <v>6186</v>
      </c>
      <c r="D7" s="95" t="s">
        <v>6186</v>
      </c>
    </row>
    <row r="8">
      <c r="A8" s="95"/>
      <c r="B8" s="95"/>
      <c r="C8" s="95"/>
      <c r="D8" s="95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25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6604</v>
      </c>
      <c r="B2" s="104" t="s">
        <v>6124</v>
      </c>
      <c r="C2" s="104" t="s">
        <v>6123</v>
      </c>
      <c r="D2" s="104" t="s">
        <v>6123</v>
      </c>
    </row>
    <row r="3">
      <c r="A3" s="108" t="s">
        <v>7077</v>
      </c>
      <c r="B3" s="108" t="s">
        <v>6175</v>
      </c>
      <c r="C3" s="105" t="s">
        <v>6127</v>
      </c>
      <c r="D3" s="105" t="s">
        <v>6127</v>
      </c>
    </row>
    <row r="4">
      <c r="A4" s="95" t="s">
        <v>7078</v>
      </c>
      <c r="B4" s="95" t="s">
        <v>6123</v>
      </c>
      <c r="C4" s="95" t="s">
        <v>6130</v>
      </c>
      <c r="D4" s="95" t="s">
        <v>6130</v>
      </c>
    </row>
    <row r="5">
      <c r="A5" s="95" t="s">
        <v>7079</v>
      </c>
      <c r="B5" s="95" t="s">
        <v>6127</v>
      </c>
      <c r="C5" s="95" t="s">
        <v>6145</v>
      </c>
      <c r="D5" s="95" t="s">
        <v>6145</v>
      </c>
    </row>
    <row r="6">
      <c r="A6" s="95" t="s">
        <v>7080</v>
      </c>
      <c r="B6" s="95" t="s">
        <v>6130</v>
      </c>
      <c r="C6" s="95" t="s">
        <v>6184</v>
      </c>
      <c r="D6" s="95" t="s">
        <v>6184</v>
      </c>
    </row>
    <row r="7">
      <c r="A7" s="95" t="s">
        <v>7081</v>
      </c>
      <c r="B7" s="95" t="s">
        <v>6145</v>
      </c>
      <c r="C7" s="95" t="s">
        <v>6186</v>
      </c>
      <c r="D7" s="95" t="s">
        <v>6186</v>
      </c>
    </row>
    <row r="8">
      <c r="A8" s="95" t="s">
        <v>7082</v>
      </c>
      <c r="B8" s="95" t="s">
        <v>6184</v>
      </c>
      <c r="C8" s="95" t="s">
        <v>6188</v>
      </c>
      <c r="D8" s="95" t="s">
        <v>6188</v>
      </c>
    </row>
    <row r="9">
      <c r="A9" s="95"/>
      <c r="B9" s="95"/>
      <c r="C9" s="95"/>
      <c r="D9" s="95"/>
    </row>
    <row r="10">
      <c r="A10" s="95"/>
      <c r="B10" s="95"/>
      <c r="C10" s="95"/>
      <c r="D10" s="95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2" max="2" width="5.13"/>
    <col customWidth="1" min="3" max="3" width="3.75"/>
    <col customWidth="1" min="4" max="4" width="9.38"/>
  </cols>
  <sheetData>
    <row r="1">
      <c r="A1" s="95" t="s">
        <v>6119</v>
      </c>
      <c r="B1" s="95" t="s">
        <v>6120</v>
      </c>
      <c r="C1" s="95" t="s">
        <v>11</v>
      </c>
      <c r="D1" s="95" t="s">
        <v>12</v>
      </c>
    </row>
    <row r="2">
      <c r="A2" s="116" t="s">
        <v>6591</v>
      </c>
      <c r="B2" s="104" t="s">
        <v>6124</v>
      </c>
      <c r="C2" s="104" t="s">
        <v>6123</v>
      </c>
      <c r="D2" s="104" t="s">
        <v>6123</v>
      </c>
    </row>
    <row r="3">
      <c r="A3" s="108" t="s">
        <v>7083</v>
      </c>
      <c r="B3" s="108" t="s">
        <v>6123</v>
      </c>
      <c r="C3" s="105" t="s">
        <v>6127</v>
      </c>
      <c r="D3" s="105" t="s">
        <v>6127</v>
      </c>
    </row>
    <row r="4">
      <c r="A4" s="95" t="s">
        <v>7084</v>
      </c>
      <c r="B4" s="95" t="s">
        <v>6123</v>
      </c>
      <c r="C4" s="95" t="s">
        <v>6130</v>
      </c>
      <c r="D4" s="95" t="s">
        <v>6130</v>
      </c>
    </row>
    <row r="5">
      <c r="A5" s="95"/>
      <c r="B5" s="95"/>
      <c r="C5" s="95"/>
      <c r="D5" s="95"/>
    </row>
    <row r="6">
      <c r="A6" s="95"/>
      <c r="B6" s="95"/>
      <c r="C6" s="95"/>
      <c r="D6" s="95"/>
    </row>
  </sheetData>
  <drawing r:id="rId1"/>
</worksheet>
</file>