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-number of variables" sheetId="1" r:id="rId4"/>
    <sheet state="visible" name="01-1-number of variables-detail" sheetId="2" r:id="rId5"/>
    <sheet state="visible" name="02-variable-info" sheetId="3" r:id="rId6"/>
    <sheet state="visible" name="02-1-variable-type" sheetId="4" r:id="rId7"/>
    <sheet state="visible" name="02-2-filename-distribution" sheetId="5" r:id="rId8"/>
    <sheet state="visible" name="02-3-type-distribution" sheetId="6" r:id="rId9"/>
    <sheet state="visible" name="03-death-disability-level" sheetId="7" r:id="rId10"/>
    <sheet state="visible" name="03-1-death-disability-level-wit" sheetId="8" r:id="rId11"/>
    <sheet state="visible" name="03-2-death-disability-level-dis" sheetId="9" r:id="rId12"/>
  </sheets>
  <definedNames/>
  <calcPr/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<sst xmlns="http://schemas.openxmlformats.org/spreadsheetml/2006/main" count="10677" uniqueCount="3055">
  <si>
    <t>filename</t>
  </si>
  <si>
    <t>len-columns</t>
  </si>
  <si>
    <t>columns</t>
  </si>
  <si>
    <t>remove</t>
  </si>
  <si>
    <t>comments</t>
  </si>
  <si>
    <t>00-00-identity.csv</t>
  </si>
  <si>
    <t>['_study', 'center', 'subjectID', 'uniqueID', 'MRI_ID', 'followupCenter', 'followupID', 'uniqueFollowupID', '_flatten_index']</t>
  </si>
  <si>
    <t>remove MRI_ID, _flatten_index, uniqueFollowupID, uniqueID</t>
  </si>
  <si>
    <t>01-02-screening.csv</t>
  </si>
  <si>
    <t>['birthNumber', 'screenComment', 'coreTempLess32p5CGreaterEq2Hr_e', 'coreTempLess33p5CGreater1Hr_e', 'coreTempLess34CGreater1Hr_e', 'first6HrCoolByClinicalProtocol_e', 'chromosomalAbnormality_e', 'majorCongenitalAnomaly_e', 'birthWeightLessEq1800g_e', 'infantUnlikelySurvive_e', 'first60MinAllBloodGasPHGreater7p15BaseDeficitLess10mEqPerL_e', 'postnatalAgeLess6HrOrGreater24Hr_e', 'enrolledConflictingTrial_e', 'first60MinAnyBloodGasPHLessEq7_i', 'first60MinAnyBloodGasBaseDeficitGreaterEq16mEqPerL_i', 'historyPerinatalEvent_i', 'at10MinApgarLessEq5OrVent_i', 'randomEligible', 'consentStatus', 'noConsentReason', 'noInStudyReason', 'random', 'noRandomReason', 'noRandomReasonText', 'randomDate', 'randomTime', 'ageRand_hr', 'randomNumber', 'randomTreatmentAssign', 'randomTreatmentReceive', 'treatmentBlanketType', 'treatmentAssignmentDuration_hr', 'treatmentAssignmentTemperature', 'usualCoolingTreatmentGroup', 'inOtherTrial', 'inOtherTrialText']</t>
  </si>
  <si>
    <t>01-03-maternal-demographics.csv</t>
  </si>
  <si>
    <t>['motherAge_year', 'motherRace', 'motherEthnicity', 'motherMaritalStatus', 'motherEducation', 'motherInsurance']</t>
  </si>
  <si>
    <t>01-04-pregnancy-history.csv</t>
  </si>
  <si>
    <t>['gravida', 'parity', 'multipleBirth', 'numFetus', 'prenatalCare', 'hypertensionEclampsia', 'antepartumHemorrhage', 'thyroidMalfunction', 'diabetes']</t>
  </si>
  <si>
    <t>01-05-labor-delivery.csv</t>
  </si>
  <si>
    <t>['maternalAdmissionDate', 'maternalAdmissionTime', 'ruptureDate', 'ruptureTime', 'ruptureGreater18Hr', 'ruptureBeforeDelivery', 'labor', 'laborOnsetDate', 'laborOnsetTime', 'deliveryMode', 'fetalDecelerate', 'cordMishap', 'uterineRupture', 'shoulderDystocia', 'placentalProblem', 'maternalHemorrhage', 'maternalTrauma', 'maternalCardioRespiratoryArrest', 'maternalSeizure', 'perinatalSentinelEvent', 'pyrexiaGreater37p6C', 'chorioamnionitis', 'placentalPathologyPerformed', 'histologicChorioamionitis', 'laborAntibiotics', 'laborAntibioticsCode1', 'emergencyCSection']</t>
  </si>
  <si>
    <t>01-05_1-pse.csv</t>
  </si>
  <si>
    <t>[]</t>
  </si>
  <si>
    <t>01-05_2-emergency-csection.csv</t>
  </si>
  <si>
    <t>01-06-birth.csv</t>
  </si>
  <si>
    <t>['encephalopathyLevel', 'randomInfantAge', 'birthWeight_g', 'birthLength_cm', 'birthHeadCircumference_cm', 'birthGestationalAge_week', 'infantSex', 'maleSex', 'infantOutborn', 'outbornInHospital', 'outbornOutHospital', 'neonateAdmissionDate', 'neonateAdmissionTime', 'Apgar1min', 'Apgar5min', 'Apgar10min', 'Apgar15min', 'Apgar20min', 'deliveryResuscitation', 'deliveryOxygen', 'deliveryBaggingAndMask', 'deliveryChestCompression', 'deliveryIntubation', 'deliveryDrug', 'at10MinContinueResuscitation', 'at10MinOxygen', 'at10MinBaggingAndMask', 'at10MinChestCompression', 'at10MinIntubation', 'at10MinDrug', 'spontaneousRespirationTime', 'cordBloodGas', 'cordBloodGasSrc', 'cordBloodGasPH', 'cordBloodGasPCO2_mmHg', 'cordBloodGasPO2_mmHg', 'cordBloodGasHCO3_mEqPerL', 'cordBloodGasBaseDeficit_mEqPerL', 'firstPostnatalBloodGas', 'firstPostnatalBloodGasSrc', 'firstPostnatalBloodGasDate', 'firstPostnatalBloodGasTime', 'firstPostnatalBloodGasPH', 'firstPostnatalBloodGasPCO2_mmHg', 'firstPostnatalBloodGasPO2_mmHg', 'firstPostnatalBloodGasHCO3_mEqPerL', 'firstPostnatalBloodGasBaseDeficit_mEqPerL', 'acidosis', 'Apgar10minLess5', 'Apgar10minLessEq5', 'Apgar5minLessEq5', 'initBloodGasBaseDeficit_mEqPerL', 'initBloodGasBaseDeficit_mEqPerLSrc', 'initBloodGasPH', 'initBloodGasPHSrc', 'birthDate', 'birthTime']</t>
  </si>
  <si>
    <t>01-06_1-apgar.csv</t>
  </si>
  <si>
    <t>01-07-pre-temperature.csv</t>
  </si>
  <si>
    <t>['targetTreatmentTemperature_C', 'pre_CoolInitiate', 'pre_CoolbyIceGelPack', 'pre_CoolPassively', 'pre_CoolClinically', 'pre_CoolInitiateDate', 'pre_CoolInitiateTime', 'pre_AfterOvershootReach33p5C', 'pre_AfterOvershootReach33p5CDate', 'pre_AfterOvershootReach33p5CTime', 'pre_TemperatureMinDate', 'pre_TemperatureMinTime', 'pre_SkinTemperatureMin_C', 'pre_AxillaryTemperatureMin_C', 'pre_EsophagealTemperatureMin_C', 'pre_ServoSetMin_C', 'pre_TemperatureMaxDate', 'pre_TemperatureMaxTime', 'pre_SkinTemperatureMax_C', 'pre_AxillaryTemperatureMax_C', 'pre_EsophagealTemperatureMax_C', 'pre_ServoSetMax_C']</t>
  </si>
  <si>
    <t>01-08-pre-cardiovascular.csv</t>
  </si>
  <si>
    <t>['pre_CardioDate', 'pre_CardioTime', 'pre_CardioSystolicBloodPressure_mmHg', 'pre_CardioDiastolicBloodPressure_mmHg', 'pre_CardioHeartRate_BPM', 'pre_CardioVolumeExpand', 'pre_CardioInotropicAgent', 'pre_CardioBloodTransfusion', 'pre_CardioPlatelets']</t>
  </si>
  <si>
    <t>01-09-pre-infection.csv</t>
  </si>
  <si>
    <t>['pre_PositiveCulture', 'pre_PositiveCultureSrc', 'pre_PositiveCultureDate', 'pre_PositiveCultureTime', 'pre_PositiveCultureOrganismCode1', 'pre_Antibiotics', 'pre_AntibioticsCode1']</t>
  </si>
  <si>
    <t>01-10-pre-other-med.csv</t>
  </si>
  <si>
    <t>['pre_OtherMedTargetDate', 'pre_OtherMedTargetTime', 'pre_Anticonvulsants1', 'pre_AnalgesicsSedatives1', 'pre_Antipyretics1', 'pre_Paralytics1', 'pre_OtherMedFluidIntake_ccPerKg', 'pre_OtherMedUrineOutput_ccPerKg']</t>
  </si>
  <si>
    <t>01-11-pre-imaging.csv</t>
  </si>
  <si>
    <t>['pre_HeadSonogram', 'pre_HeadSonogramDate', 'pre_HeadSonogramTime', 'pre_HeadSonogramResult1', 'pre_HeadSonogramResultText', 'pre_HeadCT', 'pre_HeadCTDate', 'pre_HeadCTTime', 'pre_HeadCTResult1', 'pre_HeadCTResultText', 'pre_BrainMRI', 'pre_BrainMRIDate', 'pre_BrainMRITime', 'pre_BrainMRIResult1', 'pre_BrainMRIResultText']</t>
  </si>
  <si>
    <t>01-12-neuro-exam.csv</t>
  </si>
  <si>
    <t>['pre_NeuroExam', 'pre_NoNeuroExamReason', 'pre_NeuroExamSignModerateSevereHIE3Category', 'pre_NeuroExamLevelConsciousness', 'pre_NeuroExamSpontaneousActivity', 'pre_NeuroExamPosture', 'pre_NeuroExamTone', 'pre_NeuroExamSuck', 'pre_NeuroExamMoro', 'pre_NeuroExamPupils', 'pre_NeuroExamHeartRate', 'pre_NeuroExamRespiration', 'pre_NeuroExamDate', 'pre_NeuroExamTime', 'pre_NeuroExamSedate', 'pre_NeuroExamSeizure']</t>
  </si>
  <si>
    <t>01-12_1-total-modified-sarnat.csv</t>
  </si>
  <si>
    <t>['pre_NeuroExamReflexScore', 'pre_NeuroExamANSScore', 'pre_TotalModifiedSarnatScore']</t>
  </si>
  <si>
    <t>02-01-temperature.csv</t>
  </si>
  <si>
    <t>['temperatureTimeSlot_min', 'temperatureTimeSlotNoForm', 'temperatureDate', 'temperatureTime', 'skinTemperature_C', 'axillaryTemperature_C', 'esophagealTemperature_C', 'blanketTemperature_C', 'servoSetTemperature_C', 'alterationSkinIntegrity', 'shiver']</t>
  </si>
  <si>
    <t>02-02-cardiovascular.csv</t>
  </si>
  <si>
    <t>['cardioTimeSlot_min', 'cardioDate', 'cardioTime', 'cardioSystolicBloodPressure_mmHg', 'cardioDiastolicBloodPressure_mmHg', 'cardioHeartRate_BPM', 'cardioVolumeExpand', 'cardioInotropicAgent', 'cardioBloodTransfusion', 'cardioPlatelets']</t>
  </si>
  <si>
    <t>02-03-respiratory.csv</t>
  </si>
  <si>
    <t>['respiratoryTimeSlot_min', 'respiratoryDate', 'respiratoryTime', 'respiratorySupportType', 'respiratoryFiO2', 'respiratoryRate_Hz', 'respiratoryPIP_cmH2O', 'respiratoryMAP_cmH2O', 'respiratoryPEEP_cmH2O']</t>
  </si>
  <si>
    <t>02-04-blood-gas.csv</t>
  </si>
  <si>
    <t>['bloodGasTimeSlot_min', 'bloodGasDate', 'bloodGasTime', 'bloodGasSrc', 'bloodGasPH', 'bloodGasPCO2_mmHg', 'bloodGasPO2_mmHg', 'bloodGasHCO3_mEqPerL', 'bloodGasBaseDeficit_mEqPerL', 'bloodGasPHCorrect', 'bloodGasPCO2Correct_mmHg', 'bloodGasPO2Correct_mmHg', 'bloodGasHCO3Correct_mEqPerL', 'bloodGasBaseDeficitCorrect_mEqPerL']</t>
  </si>
  <si>
    <t>02-05-hematology.csv</t>
  </si>
  <si>
    <t>['hematology', 'hematologyTimeSlot_min', 'hematologyDate', 'hematologyTime', 'hematologyWBC_cPermuL', 'hematologyHemoglobin_gPerdL', 'hematologyPolymorphNeutrophils_cPermuL', 'hematologyMonocytes_cPermuL', 'hematologyLymphocytes_cPermuL', 'hematologyPlatelet_cPermuL', 'hematologyPT_s', 'hematologyPTT_s']</t>
  </si>
  <si>
    <t>02-05_s-hematology.csv</t>
  </si>
  <si>
    <t>['hematologyHematocritMin', 'hematologyHematocritMinDate', 'hematologyPlateletMin_cPermuL', 'hematologyPlateletMin_cPermuLDate']</t>
  </si>
  <si>
    <t>02-06_s-blood-value.csv</t>
  </si>
  <si>
    <t>['bloodValueBunBaseline_mgPerdL', 'bloodValueBunBaseline_mgPerdLDate', 'bloodValueCreatinineBaseline_mgPerdL', 'bloodValueCreatinineBaseline_mgPerdLDate', 'bloodValueASTSGOTBaseline_UPerL', 'bloodValueASTSGOTBaseline_UPerLDate', 'bloodValueALTSGPTBaseline_UPerL', 'bloodValueALTSGPTBaseline_UPerLDate', 'bloodValueTotalBilirubinBaseline_mgPerdL', 'bloodValueTotalBilirubinBaseline_mgPerdLDate', 'bloodValuePHMin', 'bloodValuePHMinDate', 'bloodValueHCO3Min_mEqPerL', 'bloodValueHCO3Min_mEqPerLDate', 'bloodValueSerumNaMin_mEqPerL', 'bloodValueSerumNaMin_mEqPerLDate', 'bloodValueSerumKMin_mEqPerL', 'bloodValueSerumKMin_mEqPerLDate', 'bloodValueClMin_mEqPerL', 'bloodValueClMin_mEqPerLDate', 'bloodValueGlucoseMin_mgPerdL', 'bloodValueGlucoseMin_mgPerdLDate', 'bloodValueTotalCaMin_mgPerdL', 'bloodValueTotalCaMin_mgPerdLDate', 'bloodValueIonCaMin_mgPerdL', 'bloodValueIonCaMin_mgPerdLDate', 'bloodValueASTSGOTMin_UPerL', 'bloodValueASTSGOTMin_UPerLDate', 'bloodValueALTSGPTMin_UPerL', 'bloodValueALTSGPTMin_UPerLDate', 'bloodValueTotalBilirubinMin_mgPerdL', 'bloodValueTotalBilirubinMin_mgPerdLDate', 'bloodValuePHMax', 'bloodValuePHMaxDate', 'bloodValueBaseDeficitMax_mEqPerL', 'bloodValueBaseDeficitMax_mEqPerLDate', 'bloodValueSerumNaMax_mEqPerL', 'bloodValueSerumNaMax_mEqPerLDate', 'bloodValueSerumKMax_mEqPerL', 'bloodValueSerumKMax_mEqPerLDate', 'bloodValueClMax_mEqPerL', 'bloodValueClMax_mEqPerLDate', 'bloodValueBunMax_mgPerdL', 'bloodValueBunMax_mgPerdLDate', 'bloodValueCreatinineMax_mgPerdL', 'bloodValueCreatinineMax_mgPerdLDate', 'bloodValueGlucoseMax_mgPerdL', 'bloodValueGlucoseMax_mgPerdLDate', 'bloodValueTotalCaMax_mgPerdL', 'bloodValueTotalCaMax_mgPerdLDate', 'bloodValueIonCaMax_mgPerdL', 'bloodValueIonCaMax_mgPerdLDate', 'bloodValueASTSGOTMax_UPerL', 'bloodValueASTSGOTMax_UPerLDate', 'bloodValueALTSGPTMax_UPerL', 'bloodValueALTSGPTMax_UPerLDate', 'bloodValueTotalBilirubinMax_mgPerdL', 'bloodValueTotalBilirubinMax_mgPerdLDate']</t>
  </si>
  <si>
    <t>02-07-infection.csv</t>
  </si>
  <si>
    <t>['positiveCultureNumber', 'positiveCulture', 'positiveCultureSrc', 'positiveCultureDate', 'positiveCultureTime', 'positiveCultureOrganismCode1', 'antibiotics', 'antibioticsCode1', 'rewarmingAntibiotics', 'rewarmingAntibioticsCode1']</t>
  </si>
  <si>
    <t>02-08-other-med.csv</t>
  </si>
  <si>
    <t>['otherMedTimeSlot_min', 'otherMedTargetDate', 'otherMedTargetTime', 'anticonvulsants1', 'analgesicsSedatives1', 'antipyretics1', 'paralytics1', 'otherMedFluidIntake_ccPerKg', 'otherMedUrineOutput_ccPerKg']</t>
  </si>
  <si>
    <t>02-09-imaging.csv</t>
  </si>
  <si>
    <t>['imagingNumber', 'headSonogram', 'headSonogramDate', 'headSonogramTime', 'headSonogramResult1', 'headSonogramResultText', 'headCT', 'headCTDate', 'headCTTime', 'headCTResult1', 'headCTResultText', 'brainMRI', 'brainMRIDate', 'brainMRITime', 'brainMRIResult1', 'brainMRIResultText']</t>
  </si>
  <si>
    <t>02-11-elevated-temperature.csv</t>
  </si>
  <si>
    <t>['elevatedTempNumber', 'elevatedTempMin', 'elevatedTempDate', 'elevatedTempTime', 'elevatedTempSkinTemperature_C', 'elevatedTempAxillaryTemperature_C', 'elevatedTempEsophagealTemperature_C', 'elevatedTempServoSet_C', 'elevatedTempDevice', 'elevatedTempDeviceMode', 'elevatedTempAirTemperature_C', 'elevatedTempBath', 'elevatedTempNoBathReason', 'elevatedTempBlanketrol']</t>
  </si>
  <si>
    <t>02-12-fluctuated-temperature.csv</t>
  </si>
  <si>
    <t>['fluctuateTempNumber', 'fluctuateTempMin', 'fluctuateTempDate', 'fluctuateTempTime', 'fluctuateTempSkinTemperature_C', 'fluctuateTempAxillaryTemperature_C', 'fluctuateTempEsophagealTemperature_C', 'fluctuateTempBlanketrol_C', 'fluctuateTempServoSet_C']</t>
  </si>
  <si>
    <t>02-13-bradycardia.csv</t>
  </si>
  <si>
    <t>['bradycardiaEventNumber', 'bradycardiaLess70Greater15min', 'bradycardiaEKG', 'bradycardiaEKGResult', 'bradycardiaEKGResultOtherText', 'bradycardiaAntiarrhythmiaMedication', 'bradycardiaDate', 'bradycardiaTime', 'bradycardiaDuration', 'bradycardiaHeartRateMin']</t>
  </si>
  <si>
    <t>02-14-adverse-event.csv</t>
  </si>
  <si>
    <t>['adverseEventNumber', 'SAECardiacExperienceOnsetDate', 'SAECardiacExperienceOnsetTime', 'SAECardiacExperienceResolveDate', 'SAECardiacExperienceResolveTime', 'SAECardiacExperienceDueToHypothermia', 'SAECardiacExperienceActionTaken', 'SAECardiacExperienceOutcome', 'SAECardiacExperienceComment', 'SAEMetabolicAcidosisOnsetDate', 'SAEMetabolicAcidosisOnsetTime', 'SAEMetabolicAcidosisResolveDate', 'SAEMetabolicAcidosisResolveTime', 'SAEMetabolicAcidosisDueToHypothermia', 'SAEMetabolicAcidosisActionTaken', 'SAEMetabolicAcidosisOutcome', 'SAEMetabolicAcidosisComment', 'SAEThrombosisExperienceOnsetDate', 'SAEThrombosisExperienceOnsetTime', 'SAEThrombosisExperienceResolveDate', 'SAEThrombosisExperienceResolveTime', 'SAEThrombosisExperienceDueToHypothermia', 'SAEThrombosisExperienceActionTaken', 'SAEThrombosisExperienceOutcome', 'SAEThrombosisExperienceComment', 'SAEBleedingExperienceOnsetDate', 'SAEBleedingExperienceOnsetTime', 'SAEBleedingExperienceResolveDate', 'SAEBleedingExperienceResolveTime', 'SAEBleedingExperienceDueToHypothermia', 'SAEBleedingExperienceActionTaken', 'SAEBleedingExperienceOutcome', 'SAEBleedingExperienceComment', 'SAEAlterationSkinIntegrity', 'SAEAlterationSkinIntegrityOnsetDate', 'SAEAlterationSkinIntegrityResolveDate', 'SAEAlterationSkinIntegrityDueToHypothermia', 'SAEAlterationSkinIntegrityActionTaken', 'SAEAlterationSkinIntegrityOutcome', 'SAEAlterationSkinIntegrityComment', 'SAEDeathDate', 'SAEDeathTime', 'SAEDeathDueToHypothermia', 'SAEDeathActionTaken', 'SAEDeathOutcome', 'SAEDeathComment', 'SAEOther', 'SAEOtherOnsetDate', 'SAEOtherOnsetTime', 'SAEOtherResolveDate', 'SAEOtherResolveTime', 'SAEOtherDueToHypothermia', 'SAEOtherActionTaken', 'SAEOtherOutcome', 'SAEOtherComment']</t>
  </si>
  <si>
    <t>02-15-violation.csv</t>
  </si>
  <si>
    <t>['violationNumber', 'violationDate', 'violationNature', 'violationTreatmentAssign', 'violationTreatmentReceive', 'violationOtherText', 'violationCircumstance', 'violationOtherCirumstanceText', 'violationComment']</t>
  </si>
  <si>
    <t>02-16-interrupt.csv</t>
  </si>
  <si>
    <t>['interruptNumber', 'interrupt', 'interruptReason', 'interruptReasonText', 'interruptDate', 'interruptTime', 'interruptRestartDate', 'interruptRestartTime', 'interruptRestartEsophagealTemperature_C']</t>
  </si>
  <si>
    <t>02-17-discontinue.csv</t>
  </si>
  <si>
    <t>['discontinueDate', 'discontinueTime', 'discontinueBeforeEndPeriod', 'discontinueParentsWithdraw', 'discontinuePhysicianWithdraw', 'discontinueAdverseEvent', 'discontinueECMO', 'discontinueDNR', 'discontinueWdrawSupport', 'discontinueDeath', 'discontinueOther', 'discontinueOtherText']</t>
  </si>
  <si>
    <t>03-01-post-temperature.csv</t>
  </si>
  <si>
    <t>['post_TemperatureTimeSlot_day', 'post_TemperatureDate', 'post_TemperatureTime', 'post_SkinTemperature_C', 'post_AxillaryTemperature_C', 'post_AlterationSkinIntegrity', 'post_Shiver']</t>
  </si>
  <si>
    <t>03-01_s-post-temperature.csv</t>
  </si>
  <si>
    <t>['normothermiaAtEndIntervention', 'normothermiaDate', 'normothermiaTime', 'normothermiaAxillaryTemperature_C', 'noNormothermiaReason', 'coolAfterIntervention', 'coolAfterInterventionText']</t>
  </si>
  <si>
    <t>03-02-post-blood-value.csv</t>
  </si>
  <si>
    <t>['post_BloodValueASTSGOT_UPerL', 'post_BloodValueASTSGOT_UPerLDate', 'post_BloodValueALTSGPT_UPerL', 'post_BloodValueALTSGPT_UPerLDate', 'post_BloodValueTotalBilirubin_mgPerdL', 'post_BloodValueTotalBilirubin_mgPerdLDate']</t>
  </si>
  <si>
    <t>03-03-post-imaging.csv</t>
  </si>
  <si>
    <t>['post_HeadSonogram', 'post_HeadSonogramDate', 'post_HeadSonogramTime', 'post_HeadSonogramResult1', 'post_HeadSonogramResultText', 'post_HeadCT', 'post_HeadCTDate', 'post_HeadCTTime', 'post_HeadCTResult1', 'post_HeadCTResultText', 'post_BrainMRI', 'post_BrainMRIDate', 'post_BrainMRITime', 'post_BrainMRIResult1', 'post_BrainMRIResultText']</t>
  </si>
  <si>
    <t>03-04-post-neuro-exam.csv</t>
  </si>
  <si>
    <t>['post_NeuroExamDate', 'post_NeuroExamTime', 'post_NeuroExamLevelConsciousness', 'post_NeuroExamSpontaneousActivity', 'post_NeuroExamPosture', 'post_NeuroExamTone', 'post_NeuroExamSuck', 'post_NeuroExamMoro', 'post_NeuroExamPupils', 'post_NeuroExamHeartRate', 'post_NeuroExamRespiration', 'post_NeuroExamSeizure', 'post_NeuroExamSedate', 'post_NeuroExamClonusSustained', 'post_NeuroExamFistedHand', 'post_NeuroExamAbnormalMovement', 'post_NeuroExamGagReflexAbsent', 'post_NeuroExamHypertonia', 'post_NeuroExamAsymTonicNeckReflex']</t>
  </si>
  <si>
    <t>03-04_1-total-modified-sarnat.csv</t>
  </si>
  <si>
    <t>['post_NeuroExamReflexScore', 'post_NeuroExamANSScore', 'post_TotalModifiedSarnatScore']</t>
  </si>
  <si>
    <t>03-05-mri.csv</t>
  </si>
  <si>
    <t>['siteID', 'MRIIncrement', 'MRIID', 'MRIStrength_T', 'MRIAdequateQuality', 'MRIT1Axial', 'MRIT1Coronal', 'MRIT1Sagittal', 'MRIT1', 'MRIT2Axial', 'MRIT2Coronal', 'MRIT2Sagittal', 'MRIT2', 'MRIT2FLAIRAxial', 'MRIT2FLAIRCoronal', 'MRIT2FLAIRSagittal', 'MRIT2FLAIR', 'MRIGRESWIAxial', 'MRIGRESWICoronal', 'MRIGRESWISagittal', 'MRIGRESWI', 'MRISPGRAxial', 'MRISPGRCoronal', 'MRISPGRSagittal', 'MRISPGR', 'MRIDWI', 'MRIADC', 'MRIMRS', 'MRIOther', 'MRIOtherText', 'MRIOverallDiagnosis', 'MRIOverallDiagnosisText', 'MRIAbnormal', 'MRICerebralAtrophy', 'MRICerebralAtrophyGlobalLocal', 'MRICerebralAtrophyRegion', 'MRICerebralAtrophyQualAssessCC', 'MRICerebralAtrophyQualAssessVDLeft', 'MRICerebralAtrophyQualAssessVDRight', 'MRIInfarction', 'MRIInfarctionArterialTerritoryLeft', 'MRIInfarctionArterialTerritoryRight', 'MRIInfarctionWatershedLeft', 'MRIInfarctionWatershedRight', 'MRIMidlineShift', 'MRIBGT', 'MRIPLIC', 'MRIALIC', 'MRIWatershed', 'MRIWhiteMatterInjury', 'MRIFocalCorticalInjury', 'MRINRNPatternOfInjuryExtent', 'MRINRNPatternOfInjuryLateral', 'MRIComment', 'MRINRNPatternOfInjury']</t>
  </si>
  <si>
    <t>03-05_s-mri.csv</t>
  </si>
  <si>
    <t>['MRIAvailable', 'MRIObtain', 'MRIObtainWindow', 'MRIObtainComment', 'MRINoObtainReason', 'MRINoObtainReasonText', 'MRIRead', 'MRIScore', 'MRI2LevelPatternOfInjury', 'MRIAge_day', 'MRIOverallDiagnosisMerge', 'MRINRNPatternOfInjury', 'MRINotDone', 'MRIUnread', 'MRIAnalysis', 'MRIAbnormalResult', 'MRINRNPatternOfInjuryWSvsBGTPLIC', 'MRICerebralLesion', 'MRICerebellarLesion', 'MRIBasalGangliaLesion', 'MRIBrainstemLesion', 'MRICorpusCallosumLesion', 'MRICerebralLesionLobe', 'MRICoronaRadiataLesion', 'MRIEdema', 'MRIExtraAxialLesion', 'MRIExtent', 'MRIFrontalParietalLesion', 'MRIFrontalLesion', 'MRILateralHemisphericDevastation', 'MRIHippocampusLesion', 'MRIHypothalamusLesion', 'MRIInsularLesion', 'MRILateralityMerge', 'MRIBGTMerge', 'MRIPLICMerge', 'MRIWatershedMerge', 'MRIWhiteMatterInjuryMerge', 'MRIDate', 'MRIOccipitalLesion', 'MRITime', 'MRIOpticChiasmLesion', 'MRIOtherLesion', 'MRIOtherCerebralLesion', 'MRIParasagittalLesion', 'MRIParietalLesion', 'MRIPreirolandicLesion', 'MRIPerisylvianLesion', 'MRIPituitaryLesion', 'MRIParietalOccipitalLesion', 'MRIParietalTemporalLesion', 'MRIScalpLesion', 'MRIThalamusLesion', 'MRITemporalLesion', 'MRITemporalOccipitalLesion', 'MRICerebralAtrophyMerge', 'MRICerebralAtrophyQualAssessCCMerge', 'MRICerebralAtrophyGlobalLocalMerge', 'MRIVascularTerritoryInfarctionMerge', 'MRIVascularTerritoryInfarctionLeftMerge', 'MRIVascularTerritoryInfarctionRightMerge', 'MRIHemisphericDevastation', 'MRIVentricularDilatation', 'MRIVascularLesion', 'MRIIntraventricularLesion']</t>
  </si>
  <si>
    <t>03-05_s1-mri.csv</t>
  </si>
  <si>
    <t>['MRINRNPatternOfInjuryAvg', 'MRINRNPatternOfInjuryMax']</t>
  </si>
  <si>
    <t>04-01-status.csv</t>
  </si>
  <si>
    <t>['status', 'statusDate', 'dischargeDate', 'dischargeWeight_g', 'dischargeLength_cm', 'dischargeHeadCircumference_cm', 'transferReason', 'transferDate', 'transferWeight_g', 'transferLength_cm', 'transferHeadCircumference_cm', 'transferOutcome', 'deathDate', 'deathTime', 'deathAge_day', 'deathAutopsy', 'deathCause', 'deathCauseText', 'deathSrc']</t>
  </si>
  <si>
    <t>04-01_1-length-of-stay.csv</t>
  </si>
  <si>
    <t>['lengthOfStay_day']</t>
  </si>
  <si>
    <t>04-02-cardiovascular.csv</t>
  </si>
  <si>
    <t>['dischargeCardiomegaly', 'dischargeCardiacFailure', 'dischargeCardiacDysfunctionByEcho', 'dischargeCardiacIschemiaByEKG', 'dischargeHypotension', 'dischargeArrhythmia', 'dischargeInotropicAgent']</t>
  </si>
  <si>
    <t>04-03-respiratory.csv</t>
  </si>
  <si>
    <t>['dischargeMeconiumAspirationSyndrome', 'dischargePPHN', 'dischargePulmonaryHemorrhage', 'dischargePenumonia', 'dischargeChronicLungDisease', 'dischargeECMO', 'dischargeINO', 'dischargeVentilator_day', 'dischargeOxygen_day', 'dischargeCPAP_day', 'dischargePulmonaryStartDate1', 'dischargePulmonaryStartTime1', 'dischargePulmonaryEndDate1', 'dischargePulmonaryEndTime1']</t>
  </si>
  <si>
    <t>04-04-hematology.csv</t>
  </si>
  <si>
    <t>['dischargeDIC']</t>
  </si>
  <si>
    <t>04-05-metabolic.csv</t>
  </si>
  <si>
    <t>['dischargeHypoglycemia', 'dischargeHypocalcemia', 'dischargeHypomagnesemia']</t>
  </si>
  <si>
    <t>04-06-renal.csv</t>
  </si>
  <si>
    <t>['dischargeOliguria', 'dischargeAnuria', 'dischargeDialysis']</t>
  </si>
  <si>
    <t>04-07-gastrointestinal.csv</t>
  </si>
  <si>
    <t>['dischargeEnteralFeedStart_day', 'dischargeTubeFeedingDuration_day', 'dischargeFullNippleFeed', 'dischargeFullNippleFeed_day', 'dischargeNEC', 'dischargeHepaticDysfunction']</t>
  </si>
  <si>
    <t>04-08-skin.csv</t>
  </si>
  <si>
    <t>['dischargeAlteredSkinItegrityPostIntervention', 'dischargeErythema', 'dischargeErythemaOnsetDate', 'dischargeErythemaResolveDate', 'dischargeSclerema', 'dischargeScleremaOnsetDate', 'dischargeScleremaResolveDate', 'dischargeCyanosis', 'dischargeCyanosisOnsetDate', 'dischargeCyanosisResolveDate', 'dischargeSubFatNecrosis', 'dischargeSubFatNecrosisOnsetDate', 'dischargeSubFatNecrosisResolveDate']</t>
  </si>
  <si>
    <t>04-09-auditory.csv</t>
  </si>
  <si>
    <t>['dischargeHearingTest', 'dischargeHearingTestNormal']</t>
  </si>
  <si>
    <t>04-10-surgery.csv</t>
  </si>
  <si>
    <t>['dischargeMajorSurgery', 'dischargeSurgeryCode1']</t>
  </si>
  <si>
    <t>04-11-infection.csv</t>
  </si>
  <si>
    <t>['dischargeSepticemia', 'dischargeSepticemiaOrganismCode1', 'dischargeMeningitisEncephalitis', 'dischargeMeningitisOrganismCode1']</t>
  </si>
  <si>
    <t>04-12-neuro-exam.csv</t>
  </si>
  <si>
    <t>['dischargeNeuroExamDate', 'dischargeNeuroExamTime', 'dischargeNeuroExamLevelConsciousness', 'dischargeNeuroExamSpontaneousActivity', 'dischargeNeuroExamPosture', 'dischargeNeuroExamTone', 'dischargeNeuroExamSuck', 'dischargeNeuroExamMoro', 'dischargeNeuroExamPupils', 'dischargeNeuroExamHeartRate', 'dischargeNeuroExamRespiration', 'dischargeNeuroExamSeizure', 'dischargeNeuroExamClonusSustained', 'dischargeNeuroExamFistedHand', 'dischargeNeuroExamAbnormalMovement', 'dischargeNeuroExamGagReflexAbsent', 'dischargeNeuroExamSedate', 'dischargeNeuroExamHypertonia', 'dischargeNeuroExamAsymTonicNeckReflex']</t>
  </si>
  <si>
    <t>04-12_1-total-modified-sarnat.csv</t>
  </si>
  <si>
    <t>['dischargeNeuroExamReflexScore', 'dischargeNeuroExamANSScore', 'dischargeTotalModifiedSarnatScore']</t>
  </si>
  <si>
    <t>04-13-seizure.csv</t>
  </si>
  <si>
    <t>['dischargeSeizure', 'dischargeSeizurePreIntervention', 'dischargeSeizureAfterBaseline', 'dischargeSeizureMaintenance', 'dischargeSeizureRewarming', 'dischargeSeizurePostIntervention', 'dischargeEEG', 'dischargeEEGFindingConsistentWithSeizure', 'dischargeEEGFindingConsistentWithSeizureDate', 'dischargeEEGFindingConsistentWithSeizureTime', 'dischargeEEGAbnormalBackgroundActivity', 'dischargeEEGAbnormalBackgroundActivityDate', 'dischargeEEGAbnormalBackgroundActivityTime', 'dischargeAnticonvulsantsGreater72H', 'dischargeAnticonvulsants']</t>
  </si>
  <si>
    <t>04-14-birth-defect.csv</t>
  </si>
  <si>
    <t>['dischargeSyndromeMalformation', 'dischargeBirthDefectCode1']</t>
  </si>
  <si>
    <t>04-15-home-therapy.csv</t>
  </si>
  <si>
    <t>['dischargeHomeTherapy', 'dischargeHomeTherapyVentilator', 'dischargeHomeTherapyOxygen', 'dischargeHomeTherapyGavageTubeFeed', 'dischargeHomeTherapyGastrostomyTubeFeed', 'dischargeHomeTherapyTemperatureBlanket', 'dischargeHomeTherapyAnticonvulsantMedication', 'dischargeHomeTherapyOther', 'dischargeHomeTherapyOtherText']</t>
  </si>
  <si>
    <t>04-16-wdraw-support.csv</t>
  </si>
  <si>
    <t>['wdrawSupport', 'wdrawSupportDate', 'wdrawSupportTime', 'wdrawSupportDiscussedWithFamily', 'wdrawSupportRecommendSolelyByClinicalTeam', 'wdrawSupportNeurologicalExam', 'wdrawSupportImagingStudy', 'wdrawSupportEEGFinding', 'wdrawSupportMultisystemOrganFailureOtherThanCNS', 'wdrawSupportBrainBloodFlowScan', 'wdrawSupportParentWish', 'wdrawSupportOther', 'wdrawSupportOtherText']</t>
  </si>
  <si>
    <t>04-17-limit-care.csv</t>
  </si>
  <si>
    <t>['limitCareDiscussedWithFamily', 'limitCareRecommendSolelyByClinicalTeam', 'limitCareAgreedByFamilyAndCareTeam', 'limitCareNoFurtherMechanicalVentilationAndIntubation', 'limitCareNoFurtherVentilationWithBagAndMask', 'limitCareNoFurtherMedicationsToSupportBP', 'limitCareNoFurtherChestCompression', 'limitCareNoFurtherEmergencyMedication', 'limitCareDNR', 'limitCareDNRDate', 'limitCareDNRTime']</t>
  </si>
  <si>
    <t>20-00-follow-up.csv</t>
  </si>
  <si>
    <t>20-01-ses.csv</t>
  </si>
  <si>
    <t>['SESVisitDate', 'SESBirthDate', 'chronologicalAge_mo', 'correctedAge_mo', 'underStateSupervision', 'primaryCaretaker', 'otherCaretaker', 'maritalStatusPrimaryCaretaker', 'livingArrangementChild', 'numberPeopleInChildHousehold', 'otherContributeMoneyToChildHousehold', 'educationPrimaryCaretaker', 'educationOtherCaretaker', 'workPrimaryCaretaker', 'workOtherCaretaker', 'inSchoolPrimaryCaretaker', 'inSchoolOtherCaretaker', 'totalIncomeChildHousehold', 'medicalInsuranceChild', 'primaryLanguageChild', 'primaryLanguageChildOtherText', 'isSecondaryLanguageChild', 'secondaryLanguageChild', 'secondaryLanguageChildOtherText', 'numberPlaceChildLive', 'zipcode', 'visitingNurseReceive', 'visitingNurseNeed', 'homeNurseReceive', 'homeNurseNeed', 'otPtReceive', 'otPtNeed', 'speechTherapyReceive', 'speechTherapyNeed', 'earlyInterventionReceive', 'earlyInterventionNeed', 'socialWorkForChildReceive', 'socialWorkForChildNeed', 'specialClinicReceive', 'specialClinicNeed', 'pulmonaryReceive', 'pulmonaryNeed', 'ophthalmologicReceive', 'ophthalmologicNeed', 'gastrointestinalReceive', 'gastrointestinalNeed', 'audiologicReceive', 'audiologicNeed', 'neurologicReceive', 'neurologicNeed', 'otherReceive', 'otherNeed', 'otherNeedText', 'neurodevelopmentReceive', 'neurodevelopmentNeed', 'prematureFollowupClinicReceive', 'prematureFollowupClinicNeed', 'regularDoctor', 'resideChronicCareFacility', 'takenCareOfByOther', 'traditionalCenterCare', 'traditionalCenterCareAvgHrPerWeek', 'medicalChildCare', 'medicalChildCareAvgHrPerWeek', 'medicalChildCareWhere', 'traditionalHomeCare', 'traditionalHomeCareAvgHrPerWeek', 'traditionalHomeCareWhose', 'babysitter', 'babysitterAvgHrPerWeek', 'babysitterRelation', 'SESInterviewWhere', 'SESInterviewDate']</t>
  </si>
  <si>
    <t>20-02-medical-history.csv</t>
  </si>
  <si>
    <t>['rehospitalize', 'numberRehospitalize', 'operation', 'operationTypanostomyTube', 'operationTracheostomy', 'operationEyeSurgery', 'operationEyeSurgeryReason', 'operationHerniaSurgery', 'operationGastrostomyTube', 'operationFundoplication', 'operationShuntForHydrocephalus', 'operationReanastomosisOfLargeOrSmallIntenstine', 'operationPDALigation', 'operationBrochoscopy', 'operationHypospadiusRepair', 'operationOther', 'operationOtherText', 'medication', 'vitaminMineralSupplement', 'highCaloricFormula', 'diuretics', 'antiRefluxMedication', 'bronchodilator', 'inhaledSteroid', 'oralIvSteroid', 'otherAsthmaMedication', 'decongestantColdAllergyMedication', 'anticonvulsantMedication', 'prophylaticAntibiotics', 'antibiotics', 'constipationMedication', 'bloodPressureMedication', 'thyroidMedication', 'muscleRelaxants', 'botox', 'otherMedication', 'otherMedicationText', 'seizure', 'medicalEquipmentHomeUse', 'apneaMonitor', 'oxygen', 'ventilatorCPAP', 'gastrostomyTube', 'tracheostomy', 'pulseOximeter', 'fluShot', 'RSVProphylaxis', 'independentFeedSelf', 'assistedEatByMouth', 'tubeFeed', 'TPN', 'dietMilk', 'dietTableFood', 'dietSoftFood', 'dietLiquid', 'dietThickendLiquid', 'subcutaneousFatNecrosis', 'equipmentForStanding', 'adaptedStroller', 'bracesOrthotics', 'walker', 'stander', 'cornerChairTumblerForm']</t>
  </si>
  <si>
    <t>20-03-medical-exam.csv</t>
  </si>
  <si>
    <t>['weight_kg', 'length_cm', 'headCircumference_cm', 'strabismusRight', 'strabismusLeft', 'nystagmusRight', 'nystagmusLeft', 'rovingEyeMovementRight', 'rovingEyeMovementLeft', 'eyeTrackRight', 'eyeTrackLeft', 'visionRight', 'visionLeft', 'audiologicAssessment', 'audiologicPendingForAssessment', 'visualReinforcementAudiometry', 'VRARight', 'VRALeft', 'VRASoundField', 'ABR', 'ABRRight', 'ABRLeft', 'hearingTestUnknown', 'hearingTestUnknownRight', 'hearingTestUnknownLeft', 'hearingImpaired', 'hearingAidRequirement', 'hearingImplant', 'swallowing', 'dysphagia', 'aspiration', 'abnormalVoice', 'drooling', 'nothingByMouth', 'observedAbnormalMovement', 'observedAbnormalMovementShortJerky', 'observedAbnormalMovementSlowWrithing', 'observedAbnormalMovementTremor', 'passiveMuscleToneNeckTrunk', 'upperExtremityMuscleToneRight', 'upperExtremityMuscleToneLeft', 'lowerExtremityMuscleToneHipKneeRight', 'lowerExtremityMuscleToneHipKneeLeft', 'lowerExtremityMuscleToneAnkleRight', 'lowerExtremityMuscleToneAnkleLeft', 'scissoringLegs', 'handPreference', 'protectiveReaction', 'limbMovementUpperLimb', 'limbMovementLowerLimb', 'deepTendonReflexUpperExtremityRight', 'deepTendonReflexUpperExtremityLeft', 'deepTendonReflexKneeRight', 'deepTendonReflexKneeLeft', 'deepTendonReflexAnkleRight', 'deepTendonReflexAnkleLeft', 'ankleClonusRight', 'ankleClonusLeft', 'plantarReflexRight', 'plantarReflexLeft', 'axisHeadNeck', 'axisTrunk', 'lowerLimbFunction', 'upperLimbFunction', 'handFunctionRight', 'handFunctionLeft', 'neuralNormal', 'generalizedHypotonia', 'hypertonia', 'neuralOther', 'neuralOtherText', 'spasticDiplegia', 'spasticHemiplegiaRight', 'spasticHemiplegiaLeft', 'spasticQuadriplegia', 'spasticTriplegia', 'dystonia', 'athetosis', 'athetosisDystonia', 'hypotoniaAtaxia', 'spasticMonoplegia', 'mixedCerebralPalsy', 'cerebralPalsyUnclassified', 'cerebralPalsyUnclassifiedText', 'cerebralPalsy', 'cerebralPalsyClass', 'abrnomalityAffectingNeuroAssessment', 'abrnomalityAffectingNeuroAssessmentText', 'examWhere', 'examWhereOtherText', 'examQuality', 'examFactorAffecting', 'examFactorAffectingText', 'examCompleteDate']</t>
  </si>
  <si>
    <t>20-04-bayley-iii.csv</t>
  </si>
  <si>
    <t>['BayleyIIICognitiveSubtest', 'BayleyIIIReasonNoSuccessCognitiveSubtest', 'BayleyIIIReasonNoSuccessCognitiveSubtestText', 'BayleyIIILanguageReceptiveSubtest', 'BayleyIIIReasonNoSuccessLanguageReceptiveSubtest', 'BayleyIIIReasonNoSuccessLanguageReceptiveSubtestText', 'BayleyIIILanguageExpressiveSubtest', 'BayleyIIIReasonNoSuccessLanguageExpressiveSubtest', 'BayleyIIIReasonNoSuccessLanguageExpressiveSubtestText', 'BayleyIIIMotorFineSubtest', 'BayleyIIIReasonNoSuccessMotorFineSubtest', 'BayleyIIIReasonNoSuccessMotorFineSubtestText', 'BayleyIIIMotorGrossSubtest', 'BayleyIIIReasonNoSuccessMotorGrossSubtest', 'BayleyIIIReasonNoSuccessMotorGrossSubtestText', 'BayleyIIIAdjustedAgeForCognitiveTest', 'BayleyIIIAdjustedAgeForReceptiveCommunication', 'BayleyIIIAdjustedAgeForExpressiveCommunication', 'BayleyIIIAdjustedAgeForMotorFineSubtest', 'BayleyIIIAdjustedAgeForMotorGrossSubtest', 'BayleyIIICognitiveRaw', 'BayleyIIICognitiveScale', 'BayleyIIICognitiveComposite', 'BayleyIIIReceptiveRaw', 'BayleyIIIReceptiveScale', 'BayleyIIIExpressiveRaw', 'BayleyIIIExpressiveScale', 'BayleyIIISumLanguageScore', 'BayleyIIILanguageComposite', 'BayleyIIIMotorFineRaw', 'BayleyIIIMotorFineScale', 'BayleyIIIMotorGrossRaw', 'BayleyIIIMotorGrossScale', 'BayleyIIISumMotorScore', 'BayleyIIIMotorComposite', 'BayleyIIIInEnglish', 'BayleyIIIRequireInterpreter', 'BayleyIIIAdministratorMaskedToChildHistory', 'BayleyIIIWhere', 'BayleyIIIDate']</t>
  </si>
  <si>
    <t>20-05-gmfcs.csv</t>
  </si>
  <si>
    <t>['grossMotorFunctionLevel']</t>
  </si>
  <si>
    <t>20-06-status.csv</t>
  </si>
  <si>
    <t>['statusVisitDate', 'statusBirthDate', 'childFinalStatus', 'deathDate', 'deathCause', 'reasonLossFollowUp', 'firstVisitDate', 'finalVisitDate']</t>
  </si>
  <si>
    <t>20-07-readmission.csv</t>
  </si>
  <si>
    <t>['readmissionNumber', 'readmissionTimePeriod', 'readmissionPrimaryCause', 'readmissionPrimaryCauseOtherText', 'readmissionLengthOfStay', 'readmissionICU']</t>
  </si>
  <si>
    <t>20-08-lost.csv</t>
  </si>
  <si>
    <t>['lostFollowUpInformationAvailableIndirectSrc', 'lostFollowUpLastContactDate', 'lostFollowUpFormCompleteDate', 'lostFollowUpChildAlive', 'lostFollowUpLastKnownAliveCorrectedAge_mo', 'lostFollowUpDeathDate', 'lostFollowUpInterview', 'lostFollowUpInterviewDate', 'lostFollowUpInterviewCorrectedAge_mo', 'lostFollowUpAnyQuestionCompleteChartReview', 'lostFollowUpChartReviewDate', 'lostFollowUpChartReviewCorrectedAge_mo', 'interviewChildHealth', 'interviewWalkAlone', 'interviewWalkAloneAge_mo', 'interviewSittingAlong', 'interviewHeadControl', 'interviewSee', 'interviewEyeExam', 'interviewNeedWearGlasses', 'interviewHear', 'interviewHearExam', 'interviewNeedWearHearingAid', 'interviewNumberWordVocabulary', 'interviewCombine2Words', 'interviewCombine3Words', 'interviewHydrocephalusShunt', 'interviewCerebralPalsy', 'interviewDevelopmentalDelay', 'interviewLanguageDelay', 'interviewPoorWeightGain', 'interviewSeizure', 'interviewBlindness', 'interviewOtherBehaviorProblem', 'interviewOtherBehaviorProblemText', 'interviewOtherMajorMedicalProblem', 'interviewOtherMajorMedicalProblemText', 'interviewOtherNeuraldevelopmentalProblem', 'interviewOtherNeuraldevelopmentalProblemText', 'interviewMotorGrossFunctionLevel', 'chartReviewEyeExam', 'chartReviewHearingExam', 'chartReviewNeedWearHearingAid', 'chartReviewHydrocephalusShunt', 'chartReviewCerebralPalsy', 'chartReviewDevelopmentalDelay', 'chartReviewLanguageDelay', 'chartReviewPoorWeightGain', 'chartReviewSeizure', 'chartReviewBlindness', 'chartReviewOtherBehaviorProblem', 'chartReviewOtherBehaviorProblemText', 'chartReviewOtherMajorMedicalProblem', 'chartReviewOtherMajorMedicalProblemText', 'chartReviewOtherNeuraldevelopmentalProblem', 'chartReviewOtherNeuraldevelopmentalProblemText', 'chartReviewMotorGrossFunctionLevel']</t>
  </si>
  <si>
    <t>20-09-secondary.csv</t>
  </si>
  <si>
    <t>['blindness', 'moderateSevereCerebralPalsy', 'cerebralPalsyMerge', 'gastrostomyTube_b', 'grossMotorFunctionLevelSeverity', 'hearingImpairedWithAid', 'hearingImpairedLevel', 'multipleImpairment', 'afterDischargeSeizure']</t>
  </si>
  <si>
    <t>20-10-outcome.csv</t>
  </si>
  <si>
    <t>['flagAdjudicatedOutcome', 'normalPrimaryOutcome', 'BayleyIIILanguage', 'BayleyIIIMotor', 'BayleyIIICognitive', 'deathBeforeFollowup', 'deathBeforeDischarge', 'disabilityLevelSurvivor', 'disabilityLevelDeath4Category', 'moderateSevereDisabilityOrDeath', 'moderateSevereDisabilitySurvivor', 'outcomeGroup']</t>
  </si>
  <si>
    <t>20-10_1-disability-level-death.csv</t>
  </si>
  <si>
    <t>['disabilityLevelDeath']</t>
  </si>
  <si>
    <t>no.</t>
  </si>
  <si>
    <t>variables</t>
  </si>
  <si>
    <t>extend</t>
  </si>
  <si>
    <t>variable</t>
  </si>
  <si>
    <t>with-value</t>
  </si>
  <si>
    <t>empty</t>
  </si>
  <si>
    <t>total</t>
  </si>
  <si>
    <t>LH</t>
  </si>
  <si>
    <t>OC</t>
  </si>
  <si>
    <t>display_type</t>
  </si>
  <si>
    <t>sheet</t>
  </si>
  <si>
    <t>subcategory</t>
  </si>
  <si>
    <t>category</t>
  </si>
  <si>
    <t>summary</t>
  </si>
  <si>
    <t>type</t>
  </si>
  <si>
    <t>none</t>
  </si>
  <si>
    <t>LH-only</t>
  </si>
  <si>
    <t>OC-only</t>
  </si>
  <si>
    <t>both</t>
  </si>
  <si>
    <t>all</t>
  </si>
  <si>
    <t xml:space="preserve"> </t>
  </si>
  <si>
    <t>_study</t>
  </si>
  <si>
    <t>text</t>
  </si>
  <si>
    <t>main</t>
  </si>
  <si>
    <t>center</t>
  </si>
  <si>
    <t>CENTER</t>
  </si>
  <si>
    <t>subjectID</t>
  </si>
  <si>
    <t>HTHRM_ID</t>
  </si>
  <si>
    <t>followupCenter</t>
  </si>
  <si>
    <t>followupID</t>
  </si>
  <si>
    <t>LHFOLNUM</t>
  </si>
  <si>
    <t>birthNumber</t>
  </si>
  <si>
    <t>BIRTHNM</t>
  </si>
  <si>
    <t>number</t>
  </si>
  <si>
    <t>Screening</t>
  </si>
  <si>
    <t>Pre-intervention</t>
  </si>
  <si>
    <t>int</t>
  </si>
  <si>
    <t>screenComment</t>
  </si>
  <si>
    <t>COMMENT</t>
  </si>
  <si>
    <t>coreTempLess32p5CGreaterEq2Hr_e</t>
  </si>
  <si>
    <t>OC2TMP2</t>
  </si>
  <si>
    <t>boolean</t>
  </si>
  <si>
    <t>bool</t>
  </si>
  <si>
    <t>coreTempLess33p5CGreater1Hr_e</t>
  </si>
  <si>
    <t>OC2TEMP</t>
  </si>
  <si>
    <t>coreTempLess34CGreater1Hr_e</t>
  </si>
  <si>
    <t>LH2TEMP</t>
  </si>
  <si>
    <t>first6HrCoolByClinicalProtocol_e</t>
  </si>
  <si>
    <t>LH2COOLD</t>
  </si>
  <si>
    <t>OC2NORAN</t>
  </si>
  <si>
    <t>chromosomalAbnormality_e</t>
  </si>
  <si>
    <t>LH2CHROM</t>
  </si>
  <si>
    <t>OC2CHROM</t>
  </si>
  <si>
    <t>majorCongenitalAnomaly_e</t>
  </si>
  <si>
    <t>LH2CNGEN</t>
  </si>
  <si>
    <t>OC2CNGEN</t>
  </si>
  <si>
    <t>birthWeightLessEq1800g_e</t>
  </si>
  <si>
    <t>LH2WGHT</t>
  </si>
  <si>
    <t>OC2WGHT</t>
  </si>
  <si>
    <t>infantUnlikelySurvive_e</t>
  </si>
  <si>
    <t>LH2SURV</t>
  </si>
  <si>
    <t>OC2SURV</t>
  </si>
  <si>
    <t>first60MinAllBloodGasPHGreater7p15BaseDeficitLess10mEqPerL_e</t>
  </si>
  <si>
    <t>LH2ALLBG</t>
  </si>
  <si>
    <t>OC2ALLBG</t>
  </si>
  <si>
    <t>postnatalAgeLess6HrOrGreater24Hr_e</t>
  </si>
  <si>
    <t>LH2POSTN</t>
  </si>
  <si>
    <t>enrolledConflictingTrial_e</t>
  </si>
  <si>
    <t>LH2CNFCT</t>
  </si>
  <si>
    <t>first60MinAnyBloodGasPHLessEq7_i</t>
  </si>
  <si>
    <t>LH2PH</t>
  </si>
  <si>
    <t>OC2PH</t>
  </si>
  <si>
    <t>first60MinAnyBloodGasBaseDeficitGreaterEq16mEqPerL_i</t>
  </si>
  <si>
    <t>LH2DEFIC</t>
  </si>
  <si>
    <t>OC2DEFIC</t>
  </si>
  <si>
    <t>historyPerinatalEvent_i</t>
  </si>
  <si>
    <t>LH2HIST</t>
  </si>
  <si>
    <t>OC2HIST</t>
  </si>
  <si>
    <t>at10MinApgarLessEq5OrVent_i</t>
  </si>
  <si>
    <t>LH2APGA</t>
  </si>
  <si>
    <t>OC2APGA</t>
  </si>
  <si>
    <t>randomEligible</t>
  </si>
  <si>
    <t>OC2ELIG</t>
  </si>
  <si>
    <t>consentStatus</t>
  </si>
  <si>
    <t>LH2CONS</t>
  </si>
  <si>
    <t>OC2CONS</t>
  </si>
  <si>
    <t>nomial</t>
  </si>
  <si>
    <t>noConsentReason</t>
  </si>
  <si>
    <t>LH2REAS</t>
  </si>
  <si>
    <t>OC2REAS</t>
  </si>
  <si>
    <t>noInStudyReason</t>
  </si>
  <si>
    <t>LH2CONSP</t>
  </si>
  <si>
    <t>random</t>
  </si>
  <si>
    <t>OC2RAND</t>
  </si>
  <si>
    <t>noRandomReason</t>
  </si>
  <si>
    <t>OC2NRREA</t>
  </si>
  <si>
    <t>noRandomReasonText</t>
  </si>
  <si>
    <t>OC2NRRES</t>
  </si>
  <si>
    <t>randomDate</t>
  </si>
  <si>
    <t>LH2RANDT</t>
  </si>
  <si>
    <t>OC2RANDT</t>
  </si>
  <si>
    <t>date</t>
  </si>
  <si>
    <t>randomTime</t>
  </si>
  <si>
    <t>LH2RANTM</t>
  </si>
  <si>
    <t>OC2RANTM</t>
  </si>
  <si>
    <t>time</t>
  </si>
  <si>
    <t>ageRand_hr</t>
  </si>
  <si>
    <t>age_rand</t>
  </si>
  <si>
    <t>float</t>
  </si>
  <si>
    <t>randomNumber</t>
  </si>
  <si>
    <t>LH2RANNM</t>
  </si>
  <si>
    <t>OC2RANNM</t>
  </si>
  <si>
    <t>randomTreatmentAssign</t>
  </si>
  <si>
    <t>L6TRTMT</t>
  </si>
  <si>
    <t>OC2RANNA</t>
  </si>
  <si>
    <t>treatmentAssign</t>
  </si>
  <si>
    <t>randomTreatmentReceive</t>
  </si>
  <si>
    <t>OC2RTRTM</t>
  </si>
  <si>
    <t>treatmentBlanketType</t>
  </si>
  <si>
    <t>OC2BYYPE</t>
  </si>
  <si>
    <t>ordinal</t>
  </si>
  <si>
    <t>blanketType</t>
  </si>
  <si>
    <t>treatmentAssignmentDuration_hr</t>
  </si>
  <si>
    <t>trt_dur</t>
  </si>
  <si>
    <t>treatmentAssignmentTemperature</t>
  </si>
  <si>
    <t>trt_temp</t>
  </si>
  <si>
    <t>usualCoolingTreatmentGroup</t>
  </si>
  <si>
    <t>usualc</t>
  </si>
  <si>
    <t>inOtherTrial</t>
  </si>
  <si>
    <t>LH13PART</t>
  </si>
  <si>
    <t>OC13POIT</t>
  </si>
  <si>
    <t>inOtherTrialText</t>
  </si>
  <si>
    <t>LH13PTSP</t>
  </si>
  <si>
    <t>OC13POIS</t>
  </si>
  <si>
    <t>motherAge_year</t>
  </si>
  <si>
    <t>LH4MAGE</t>
  </si>
  <si>
    <t>OC4MAGE</t>
  </si>
  <si>
    <t>Maternal Demographics</t>
  </si>
  <si>
    <t>motherRace</t>
  </si>
  <si>
    <t>LH4MRACE</t>
  </si>
  <si>
    <t>OC4RACE</t>
  </si>
  <si>
    <t>race</t>
  </si>
  <si>
    <t>motherEthnicity</t>
  </si>
  <si>
    <t>LH4ETHNI</t>
  </si>
  <si>
    <t>OC4ETHN</t>
  </si>
  <si>
    <t>ethnicity</t>
  </si>
  <si>
    <t>motherMaritalStatus</t>
  </si>
  <si>
    <t>LH4MSTAT</t>
  </si>
  <si>
    <t>OC4MSTA</t>
  </si>
  <si>
    <t>maritalStatus</t>
  </si>
  <si>
    <t>motherEducation</t>
  </si>
  <si>
    <t>LH4EDUC</t>
  </si>
  <si>
    <t>OC4EDUC</t>
  </si>
  <si>
    <t>education</t>
  </si>
  <si>
    <t>motherInsurance</t>
  </si>
  <si>
    <t>OC4MDINS</t>
  </si>
  <si>
    <t>insurance</t>
  </si>
  <si>
    <t>gravida</t>
  </si>
  <si>
    <t>LH4GRAV</t>
  </si>
  <si>
    <t>OC4FRAV</t>
  </si>
  <si>
    <t>Pregnancy History</t>
  </si>
  <si>
    <t>parity</t>
  </si>
  <si>
    <t>LH4PARI</t>
  </si>
  <si>
    <t>OC4PARI</t>
  </si>
  <si>
    <t>multipleBirth</t>
  </si>
  <si>
    <t>LH4MBRT</t>
  </si>
  <si>
    <t>OC4MBIR</t>
  </si>
  <si>
    <t>numFetus</t>
  </si>
  <si>
    <t>LH4FNUM</t>
  </si>
  <si>
    <t>OC4NFET</t>
  </si>
  <si>
    <t>prenatalCare</t>
  </si>
  <si>
    <t>LH4PCARE</t>
  </si>
  <si>
    <t>OC4PCAR</t>
  </si>
  <si>
    <t>hypertensionEclampsia</t>
  </si>
  <si>
    <t>LH4HYPR</t>
  </si>
  <si>
    <t>OC4HYPE</t>
  </si>
  <si>
    <t>antepartumHemorrhage</t>
  </si>
  <si>
    <t>LH4HMRG</t>
  </si>
  <si>
    <t>OC4ANTE</t>
  </si>
  <si>
    <t>thyroidMalfunction</t>
  </si>
  <si>
    <t>LH4THYR</t>
  </si>
  <si>
    <t>OC4THYR</t>
  </si>
  <si>
    <t>diabetes</t>
  </si>
  <si>
    <t>LH4DIAB</t>
  </si>
  <si>
    <t>OC4DIAB</t>
  </si>
  <si>
    <t>maternalAdmissionDate</t>
  </si>
  <si>
    <t>LH4ADMDT</t>
  </si>
  <si>
    <t>OC4ADAT</t>
  </si>
  <si>
    <t>Labor Delivery</t>
  </si>
  <si>
    <t>maternalAdmissionTime</t>
  </si>
  <si>
    <t>LH4ADMTM</t>
  </si>
  <si>
    <t>OC4ATIM</t>
  </si>
  <si>
    <t>ruptureDate</t>
  </si>
  <si>
    <t>LH4RPDT</t>
  </si>
  <si>
    <t>OC4RDAT</t>
  </si>
  <si>
    <t>ruptureTime</t>
  </si>
  <si>
    <t>LH4RPTM</t>
  </si>
  <si>
    <t>OC4RTIM</t>
  </si>
  <si>
    <t>ruptureGreater18Hr</t>
  </si>
  <si>
    <t>LH4ESTIM</t>
  </si>
  <si>
    <t>OC4ROME</t>
  </si>
  <si>
    <t>ruptureBeforeDelivery</t>
  </si>
  <si>
    <t>OC4RUPT</t>
  </si>
  <si>
    <t>labor</t>
  </si>
  <si>
    <t>LH4LABOR</t>
  </si>
  <si>
    <t>laborOnsetDate</t>
  </si>
  <si>
    <t>LH4LBDT</t>
  </si>
  <si>
    <t>laborOnsetTime</t>
  </si>
  <si>
    <t>LH4LBTM</t>
  </si>
  <si>
    <t>deliveryMode</t>
  </si>
  <si>
    <t>LH4MODE</t>
  </si>
  <si>
    <t>OC4MODE</t>
  </si>
  <si>
    <t>fetalDecelerate</t>
  </si>
  <si>
    <t>LH4DECEL</t>
  </si>
  <si>
    <t>OC4LOSS</t>
  </si>
  <si>
    <t>cordMishap</t>
  </si>
  <si>
    <t>LH4CORD</t>
  </si>
  <si>
    <t>OC4CORD</t>
  </si>
  <si>
    <t>uterineRupture</t>
  </si>
  <si>
    <t>LH4UTER</t>
  </si>
  <si>
    <t>OC4UTER</t>
  </si>
  <si>
    <t>shoulderDystocia</t>
  </si>
  <si>
    <t>LH4SHOUL</t>
  </si>
  <si>
    <t>OC4DYST</t>
  </si>
  <si>
    <t>placentalProblem</t>
  </si>
  <si>
    <t>LH4PLCPX</t>
  </si>
  <si>
    <t>OC4PLAC</t>
  </si>
  <si>
    <t>maternalHemorrhage</t>
  </si>
  <si>
    <t>LH4MHEM</t>
  </si>
  <si>
    <t>OC4HEMO</t>
  </si>
  <si>
    <t>maternalTrauma</t>
  </si>
  <si>
    <t>LH4MTRMA</t>
  </si>
  <si>
    <t>OC4TRAU</t>
  </si>
  <si>
    <t>maternalCardioRespiratoryArrest</t>
  </si>
  <si>
    <t>LH4MCARD</t>
  </si>
  <si>
    <t>OC4ARRE</t>
  </si>
  <si>
    <t>maternalSeizure</t>
  </si>
  <si>
    <t>LH4MSEIZ</t>
  </si>
  <si>
    <t>OC4SEIZ</t>
  </si>
  <si>
    <t>perinatalSentinelEvent</t>
  </si>
  <si>
    <t>any_pse</t>
  </si>
  <si>
    <t>pyrexiaGreater37p6C</t>
  </si>
  <si>
    <t>LH4PYRX</t>
  </si>
  <si>
    <t>OC4PYRE</t>
  </si>
  <si>
    <t>chorioamnionitis</t>
  </si>
  <si>
    <t>LH4CHORI</t>
  </si>
  <si>
    <t>OC4CHOR</t>
  </si>
  <si>
    <t>placentalPathologyPerformed</t>
  </si>
  <si>
    <t>LH4PPATH</t>
  </si>
  <si>
    <t>OC4PATH</t>
  </si>
  <si>
    <t>histologicChorioamionitis</t>
  </si>
  <si>
    <t>LH4CHDOC</t>
  </si>
  <si>
    <t>OC4HIST</t>
  </si>
  <si>
    <t>laborAntibiotics</t>
  </si>
  <si>
    <t>LH4ANTI</t>
  </si>
  <si>
    <t>OC4ANTI</t>
  </si>
  <si>
    <t>laborAntibioticsCode1</t>
  </si>
  <si>
    <t>LH4ANTC1</t>
  </si>
  <si>
    <t>OC4ANT1</t>
  </si>
  <si>
    <t>antibiotics</t>
  </si>
  <si>
    <t>emergencyCSection</t>
  </si>
  <si>
    <t>ecsect</t>
  </si>
  <si>
    <t>encephalopathyLevel</t>
  </si>
  <si>
    <t>LH2LEVEL</t>
  </si>
  <si>
    <t>OC2LEVEL</t>
  </si>
  <si>
    <t>Birth</t>
  </si>
  <si>
    <t>randomInfantAge</t>
  </si>
  <si>
    <t>LH2RAGE</t>
  </si>
  <si>
    <t>infantAge</t>
  </si>
  <si>
    <t>birthWeight_g</t>
  </si>
  <si>
    <t>LH5BTWGT</t>
  </si>
  <si>
    <t>OC5BWHGT</t>
  </si>
  <si>
    <t>birthLength_cm</t>
  </si>
  <si>
    <t>LH5LGTH</t>
  </si>
  <si>
    <t>OC5BLGTH</t>
  </si>
  <si>
    <t>birthHeadCircumference_cm</t>
  </si>
  <si>
    <t>LH5HC</t>
  </si>
  <si>
    <t>OC5HCIRC</t>
  </si>
  <si>
    <t>birthGestationalAge_week</t>
  </si>
  <si>
    <t>LH5GAGE</t>
  </si>
  <si>
    <t>OC5GAGE</t>
  </si>
  <si>
    <t>infantSex</t>
  </si>
  <si>
    <t>LH5SEX</t>
  </si>
  <si>
    <t>OC5SEX</t>
  </si>
  <si>
    <t>maleSex</t>
  </si>
  <si>
    <t>male</t>
  </si>
  <si>
    <t>infantOutborn</t>
  </si>
  <si>
    <t>LH5OUTB</t>
  </si>
  <si>
    <t>OC5OBOR</t>
  </si>
  <si>
    <t>outbornInHospital</t>
  </si>
  <si>
    <t>LH5INHOS</t>
  </si>
  <si>
    <t>OC5HSET</t>
  </si>
  <si>
    <t>outbornOutHospital</t>
  </si>
  <si>
    <t>LH5OUHOS</t>
  </si>
  <si>
    <t>OC5OSET</t>
  </si>
  <si>
    <t>neonateAdmissionDate</t>
  </si>
  <si>
    <t>LH5ADMDT</t>
  </si>
  <si>
    <t>OC5ADAT</t>
  </si>
  <si>
    <t>neonateAdmissionTime</t>
  </si>
  <si>
    <t>LH5ADMTM</t>
  </si>
  <si>
    <t>OC5ATIM</t>
  </si>
  <si>
    <t>Apgar1min</t>
  </si>
  <si>
    <t>LH5AP1MN</t>
  </si>
  <si>
    <t>OC5AS1</t>
  </si>
  <si>
    <t>Apgar5min</t>
  </si>
  <si>
    <t>LH5AP5MN</t>
  </si>
  <si>
    <t>OC5AS5</t>
  </si>
  <si>
    <t>Apgar10min</t>
  </si>
  <si>
    <t>LH5A10MN</t>
  </si>
  <si>
    <t>OC5AS10</t>
  </si>
  <si>
    <t>Apgar15min</t>
  </si>
  <si>
    <t>OC5AS15</t>
  </si>
  <si>
    <t>Apgar20min</t>
  </si>
  <si>
    <t>LH5A20MN</t>
  </si>
  <si>
    <t>OC5AS20</t>
  </si>
  <si>
    <t>deliveryResuscitation</t>
  </si>
  <si>
    <t>LH5DLRES</t>
  </si>
  <si>
    <t>deliveryOxygen</t>
  </si>
  <si>
    <t>LH5DLO2</t>
  </si>
  <si>
    <t>OC5OXY</t>
  </si>
  <si>
    <t>deliveryBaggingAndMask</t>
  </si>
  <si>
    <t>LH5DLBAG</t>
  </si>
  <si>
    <t>OC5BAG</t>
  </si>
  <si>
    <t>deliveryChestCompression</t>
  </si>
  <si>
    <t>LH5DLCOM</t>
  </si>
  <si>
    <t>OC5COM</t>
  </si>
  <si>
    <t>deliveryIntubation</t>
  </si>
  <si>
    <t>LH5DLINT</t>
  </si>
  <si>
    <t>OC5INT</t>
  </si>
  <si>
    <t>deliveryDrug</t>
  </si>
  <si>
    <t>LH5DLDRG</t>
  </si>
  <si>
    <t>OC5DRUG</t>
  </si>
  <si>
    <t>at10MinContinueResuscitation</t>
  </si>
  <si>
    <t>LH510RES</t>
  </si>
  <si>
    <t>OC5CRS10</t>
  </si>
  <si>
    <t>at10MinOxygen</t>
  </si>
  <si>
    <t>LH510O2</t>
  </si>
  <si>
    <t>OC5COXY</t>
  </si>
  <si>
    <t>at10MinBaggingAndMask</t>
  </si>
  <si>
    <t>LH510BAG</t>
  </si>
  <si>
    <t>OC5CBAG</t>
  </si>
  <si>
    <t>at10MinChestCompression</t>
  </si>
  <si>
    <t>LH510COM</t>
  </si>
  <si>
    <t>OC5CCOM</t>
  </si>
  <si>
    <t>at10MinIntubation</t>
  </si>
  <si>
    <t>LH510INT</t>
  </si>
  <si>
    <t>OC5CINT</t>
  </si>
  <si>
    <t>at10MinDrug</t>
  </si>
  <si>
    <t>LH510DRG</t>
  </si>
  <si>
    <t>OC5CDRUG</t>
  </si>
  <si>
    <t>spontaneousRespirationTime</t>
  </si>
  <si>
    <t>LH5SPRES</t>
  </si>
  <si>
    <t>OC5SPTIM</t>
  </si>
  <si>
    <t>cordBloodGas</t>
  </si>
  <si>
    <t>LH5CORD</t>
  </si>
  <si>
    <t>OC5TOBT</t>
  </si>
  <si>
    <t>cordBloodGasSrc</t>
  </si>
  <si>
    <t>LH5CDSRC</t>
  </si>
  <si>
    <t>OC5CBSOR</t>
  </si>
  <si>
    <t>cordBloodGasPH</t>
  </si>
  <si>
    <t>LH5CDPH</t>
  </si>
  <si>
    <t>OC5PH</t>
  </si>
  <si>
    <t>cordBloodGasPCO2_mmHg</t>
  </si>
  <si>
    <t>LH5CDPCO</t>
  </si>
  <si>
    <t>OC5PC02</t>
  </si>
  <si>
    <t>cordBloodGasPO2_mmHg</t>
  </si>
  <si>
    <t>LH5CDPO2</t>
  </si>
  <si>
    <t>OC5PO2</t>
  </si>
  <si>
    <t>cordBloodGasHCO3_mEqPerL</t>
  </si>
  <si>
    <t>LH5CDHCO</t>
  </si>
  <si>
    <t>OC5HC03</t>
  </si>
  <si>
    <t>cordBloodGasBaseDeficit_mEqPerL</t>
  </si>
  <si>
    <t>LH5CDDEF</t>
  </si>
  <si>
    <t>OC5BASE</t>
  </si>
  <si>
    <t>firstPostnatalBloodGas</t>
  </si>
  <si>
    <t>LH5POST</t>
  </si>
  <si>
    <t>OC5PBBO</t>
  </si>
  <si>
    <t>firstPostnatalBloodGasSrc</t>
  </si>
  <si>
    <t>LH5PSSRC</t>
  </si>
  <si>
    <t>OC5PNSOU</t>
  </si>
  <si>
    <t>bloodGasSrc</t>
  </si>
  <si>
    <t>firstPostnatalBloodGasDate</t>
  </si>
  <si>
    <t>LH5PSDT</t>
  </si>
  <si>
    <t>OC5PBGD</t>
  </si>
  <si>
    <t>firstPostnatalBloodGasTime</t>
  </si>
  <si>
    <t>LH5PSTM</t>
  </si>
  <si>
    <t>OC5PBGT</t>
  </si>
  <si>
    <t>firstPostnatalBloodGasPH</t>
  </si>
  <si>
    <t>LH5PSPH</t>
  </si>
  <si>
    <t>OC5PPH</t>
  </si>
  <si>
    <t>firstPostnatalBloodGasPCO2_mmHg</t>
  </si>
  <si>
    <t>LH5PSPCO</t>
  </si>
  <si>
    <t>OC5PPC02</t>
  </si>
  <si>
    <t>firstPostnatalBloodGasPO2_mmHg</t>
  </si>
  <si>
    <t>LH5PSPO2</t>
  </si>
  <si>
    <t>OC5PPO2</t>
  </si>
  <si>
    <t>firstPostnatalBloodGasHCO3_mEqPerL</t>
  </si>
  <si>
    <t>LH5PSHCO</t>
  </si>
  <si>
    <t>OC5PHC03</t>
  </si>
  <si>
    <t>firstPostnatalBloodGasBaseDeficit_mEqPerL</t>
  </si>
  <si>
    <t>LH5PSDEF</t>
  </si>
  <si>
    <t>OC5PBASE</t>
  </si>
  <si>
    <t>acidosis</t>
  </si>
  <si>
    <t>Apgar10minLess5</t>
  </si>
  <si>
    <t>apg10_lt5</t>
  </si>
  <si>
    <t>Apgar10minLessEq5</t>
  </si>
  <si>
    <t>apgar10_5</t>
  </si>
  <si>
    <t>Apgar5minLessEq5</t>
  </si>
  <si>
    <t>apgar5_5</t>
  </si>
  <si>
    <t>initBloodGasBaseDeficit_mEqPerL</t>
  </si>
  <si>
    <t>dual_base</t>
  </si>
  <si>
    <t>initBloodGasBaseDeficit_mEqPerLSrc</t>
  </si>
  <si>
    <t>use_base</t>
  </si>
  <si>
    <t>initBloodGasSrc</t>
  </si>
  <si>
    <t>initBloodGasPH</t>
  </si>
  <si>
    <t>dual_ph</t>
  </si>
  <si>
    <t>initBloodGasPHSrc</t>
  </si>
  <si>
    <t>use_ph</t>
  </si>
  <si>
    <t>birthDate</t>
  </si>
  <si>
    <t>LH5BRTDT</t>
  </si>
  <si>
    <t>OC5BDAT</t>
  </si>
  <si>
    <t>birthTime</t>
  </si>
  <si>
    <t>LH5BRTTM</t>
  </si>
  <si>
    <t>OC5BTIM</t>
  </si>
  <si>
    <t>targetTreatmentTemperature_C</t>
  </si>
  <si>
    <t>OC6TGTTP</t>
  </si>
  <si>
    <t>Temperature</t>
  </si>
  <si>
    <t>targetTreatmentTemperature</t>
  </si>
  <si>
    <t>pre_CoolInitiate</t>
  </si>
  <si>
    <t>OC6CLPRD</t>
  </si>
  <si>
    <t>pre_CoolbyIceGelPack</t>
  </si>
  <si>
    <t>OC6CLICE</t>
  </si>
  <si>
    <t>pre_CoolPassively</t>
  </si>
  <si>
    <t>OC6CLPAS</t>
  </si>
  <si>
    <t>pre_CoolClinically</t>
  </si>
  <si>
    <t>OC6CLCLN</t>
  </si>
  <si>
    <t>pre_CoolInitiateDate</t>
  </si>
  <si>
    <t>OC6CLDAT</t>
  </si>
  <si>
    <t>pre_CoolInitiateTime</t>
  </si>
  <si>
    <t>OC6CLTIM</t>
  </si>
  <si>
    <t>pre_AfterOvershootReach33p5C</t>
  </si>
  <si>
    <t>OC6TMPOV</t>
  </si>
  <si>
    <t>pre_AfterOvershootReach33p5CDate</t>
  </si>
  <si>
    <t>OC6TODAT</t>
  </si>
  <si>
    <t>pre_AfterOvershootReach33p5CTime</t>
  </si>
  <si>
    <t>OC6TOTIM</t>
  </si>
  <si>
    <t>pre_TemperatureMinDate</t>
  </si>
  <si>
    <t>L6ARDDT</t>
  </si>
  <si>
    <t>OC6TPBDM</t>
  </si>
  <si>
    <t>pre_TemperatureMinTime</t>
  </si>
  <si>
    <t>L6ARDTM</t>
  </si>
  <si>
    <t>OC6TPBTM</t>
  </si>
  <si>
    <t>pre_SkinTemperatureMin_C</t>
  </si>
  <si>
    <t>L6ASKINT</t>
  </si>
  <si>
    <t>OC6TPBSM</t>
  </si>
  <si>
    <t>pre_AxillaryTemperatureMin_C</t>
  </si>
  <si>
    <t>L6AAXILT</t>
  </si>
  <si>
    <t>OC6TPBAM</t>
  </si>
  <si>
    <t>pre_EsophagealTemperatureMin_C</t>
  </si>
  <si>
    <t>L6AESPHT</t>
  </si>
  <si>
    <t>OC6TPBEM</t>
  </si>
  <si>
    <t>pre_ServoSetMin_C</t>
  </si>
  <si>
    <t>L6ASVOSP</t>
  </si>
  <si>
    <t>OC6TPBVM</t>
  </si>
  <si>
    <t>pre_TemperatureMaxDate</t>
  </si>
  <si>
    <t>OC6TPBDX</t>
  </si>
  <si>
    <t>pre_TemperatureMaxTime</t>
  </si>
  <si>
    <t>OC6TPBTX</t>
  </si>
  <si>
    <t>pre_SkinTemperatureMax_C</t>
  </si>
  <si>
    <t>OC6TPBSX</t>
  </si>
  <si>
    <t>pre_AxillaryTemperatureMax_C</t>
  </si>
  <si>
    <t>OC6TPBAX</t>
  </si>
  <si>
    <t>pre_EsophagealTemperatureMax_C</t>
  </si>
  <si>
    <t>OC6TPBEX</t>
  </si>
  <si>
    <t>pre_ServoSetMax_C</t>
  </si>
  <si>
    <t>OC6TPBVX</t>
  </si>
  <si>
    <t>pre_CardioDate</t>
  </si>
  <si>
    <t>LH6CVRDT</t>
  </si>
  <si>
    <t>OC7CVDT</t>
  </si>
  <si>
    <t>Cardiovascular</t>
  </si>
  <si>
    <t>pre_CardioTime</t>
  </si>
  <si>
    <t>LH6CVRTM</t>
  </si>
  <si>
    <t>OC7CVTM</t>
  </si>
  <si>
    <t>pre_CardioSystolicBloodPressure_mmHg</t>
  </si>
  <si>
    <t>LH6CVBPS</t>
  </si>
  <si>
    <t>OC7CBPS</t>
  </si>
  <si>
    <t>pre_CardioDiastolicBloodPressure_mmHg</t>
  </si>
  <si>
    <t>LH6CVBPD</t>
  </si>
  <si>
    <t>OC7CBPD</t>
  </si>
  <si>
    <t>pre_CardioHeartRate_BPM</t>
  </si>
  <si>
    <t>LH6CVHR</t>
  </si>
  <si>
    <t>OC7CVHR</t>
  </si>
  <si>
    <t>pre_CardioVolumeExpand</t>
  </si>
  <si>
    <t>LH6CVVE</t>
  </si>
  <si>
    <t>OC7CVVE</t>
  </si>
  <si>
    <t>pre_CardioInotropicAgent</t>
  </si>
  <si>
    <t>LH6CVIA</t>
  </si>
  <si>
    <t>OC7CVIA</t>
  </si>
  <si>
    <t>pre_CardioBloodTransfusion</t>
  </si>
  <si>
    <t>LH6CVBT</t>
  </si>
  <si>
    <t>OC7CVBT</t>
  </si>
  <si>
    <t>pre_CardioPlatelets</t>
  </si>
  <si>
    <t>LH6CVPLT</t>
  </si>
  <si>
    <t>OC7CPLT</t>
  </si>
  <si>
    <t>pre_PositiveCulture</t>
  </si>
  <si>
    <t>L6FPBRPB</t>
  </si>
  <si>
    <t>Infection</t>
  </si>
  <si>
    <t>pre_PositiveCultureSrc</t>
  </si>
  <si>
    <t>L6FPBSRC</t>
  </si>
  <si>
    <t>positiveCultureSrc</t>
  </si>
  <si>
    <t>pre_PositiveCultureDate</t>
  </si>
  <si>
    <t>L6FPBDT</t>
  </si>
  <si>
    <t>pre_PositiveCultureTime</t>
  </si>
  <si>
    <t>L6FPBTM</t>
  </si>
  <si>
    <t>pre_PositiveCultureOrganismCode1</t>
  </si>
  <si>
    <t>L6FPBOC1</t>
  </si>
  <si>
    <t>positiveCultureOrganism</t>
  </si>
  <si>
    <t>pre_Antibiotics</t>
  </si>
  <si>
    <t>L6FPBAB</t>
  </si>
  <si>
    <t>OC9ATPR</t>
  </si>
  <si>
    <t>pre_AntibioticsCode1</t>
  </si>
  <si>
    <t>L6FPBAC1</t>
  </si>
  <si>
    <t>OC9ATBC1</t>
  </si>
  <si>
    <t>pre_OtherMedTargetDate</t>
  </si>
  <si>
    <t>LH6OMTDT</t>
  </si>
  <si>
    <t>Other Medication</t>
  </si>
  <si>
    <t>pre_OtherMedTargetTime</t>
  </si>
  <si>
    <t>LH6OMTTM</t>
  </si>
  <si>
    <t>pre_Anticonvulsants1</t>
  </si>
  <si>
    <t>LH6OMAC1</t>
  </si>
  <si>
    <t>OC8OMAC1</t>
  </si>
  <si>
    <t>anticonvulsants</t>
  </si>
  <si>
    <t>pre_AnalgesicsSedatives1</t>
  </si>
  <si>
    <t>LH6OMAG1</t>
  </si>
  <si>
    <t>OC8OMAG1</t>
  </si>
  <si>
    <t>analgesics</t>
  </si>
  <si>
    <t>pre_Antipyretics1</t>
  </si>
  <si>
    <t>LH6OMAP1</t>
  </si>
  <si>
    <t>OC8OMAP1</t>
  </si>
  <si>
    <t>antipyretics</t>
  </si>
  <si>
    <t>pre_Paralytics1</t>
  </si>
  <si>
    <t>LH6OMNB1</t>
  </si>
  <si>
    <t>OC8OMNB1</t>
  </si>
  <si>
    <t>paralytics</t>
  </si>
  <si>
    <t>pre_OtherMedFluidIntake_ccPerKg</t>
  </si>
  <si>
    <t>LH6OMFI</t>
  </si>
  <si>
    <t>OC8OMFI</t>
  </si>
  <si>
    <t>pre_OtherMedUrineOutput_ccPerKg</t>
  </si>
  <si>
    <t>LH6OMUO</t>
  </si>
  <si>
    <t>OC8OMUO</t>
  </si>
  <si>
    <t>pre_HeadSonogram</t>
  </si>
  <si>
    <t>LH9HSONO</t>
  </si>
  <si>
    <t>OC12HSON</t>
  </si>
  <si>
    <t>Imaging</t>
  </si>
  <si>
    <t>pre_HeadSonogramDate</t>
  </si>
  <si>
    <t>LH9HSDAT</t>
  </si>
  <si>
    <t>OC12HSDA</t>
  </si>
  <si>
    <t>pre_HeadSonogramTime</t>
  </si>
  <si>
    <t>LH9HSTIM</t>
  </si>
  <si>
    <t>OC12HSTM</t>
  </si>
  <si>
    <t>pre_HeadSonogramResult1</t>
  </si>
  <si>
    <t>LH9HSREA</t>
  </si>
  <si>
    <t>OC12HSRA</t>
  </si>
  <si>
    <t>imaging</t>
  </si>
  <si>
    <t>pre_HeadSonogramResultText</t>
  </si>
  <si>
    <t>LH9HSRES</t>
  </si>
  <si>
    <t>OC12HSRS</t>
  </si>
  <si>
    <t>pre_HeadCT</t>
  </si>
  <si>
    <t>LH9HCT</t>
  </si>
  <si>
    <t>OC12HCT</t>
  </si>
  <si>
    <t>pre_HeadCTDate</t>
  </si>
  <si>
    <t>LH9HCDAT</t>
  </si>
  <si>
    <t>OC12HCDA</t>
  </si>
  <si>
    <t>pre_HeadCTTime</t>
  </si>
  <si>
    <t>LH9HCTIM</t>
  </si>
  <si>
    <t>OC12HCTM</t>
  </si>
  <si>
    <t>pre_HeadCTResult1</t>
  </si>
  <si>
    <t>LH9HCREA</t>
  </si>
  <si>
    <t>OC12HCRA</t>
  </si>
  <si>
    <t>pre_HeadCTResultText</t>
  </si>
  <si>
    <t>LH9HCRES</t>
  </si>
  <si>
    <t>OC12HCRS</t>
  </si>
  <si>
    <t>pre_BrainMRI</t>
  </si>
  <si>
    <t>LH9MRI</t>
  </si>
  <si>
    <t>OC12MRI</t>
  </si>
  <si>
    <t>pre_BrainMRIDate</t>
  </si>
  <si>
    <t>LH9BMDAT</t>
  </si>
  <si>
    <t>OC12BMDA</t>
  </si>
  <si>
    <t>pre_BrainMRITime</t>
  </si>
  <si>
    <t>LH9BMTIM</t>
  </si>
  <si>
    <t>OC12BMTM</t>
  </si>
  <si>
    <t>pre_BrainMRIResult1</t>
  </si>
  <si>
    <t>LH9BMREA</t>
  </si>
  <si>
    <t>OC12BMRA</t>
  </si>
  <si>
    <t>pre_BrainMRIResultText</t>
  </si>
  <si>
    <t>LH9BMRES</t>
  </si>
  <si>
    <t>OC12BMRS</t>
  </si>
  <si>
    <t>pre_NeuroExam</t>
  </si>
  <si>
    <t>LH2NEXDN</t>
  </si>
  <si>
    <t>OC2NEXDN</t>
  </si>
  <si>
    <t>Neuro Exam</t>
  </si>
  <si>
    <t>pre_NoNeuroExamReason</t>
  </si>
  <si>
    <t>LH2NENDR</t>
  </si>
  <si>
    <t>OC2NENDR</t>
  </si>
  <si>
    <t>noNeuroExamReason</t>
  </si>
  <si>
    <t>pre_NeuroExamSignModerateSevereHIE3Category</t>
  </si>
  <si>
    <t>LH2SIGN</t>
  </si>
  <si>
    <t>OC2SIGN</t>
  </si>
  <si>
    <t>pre_NeuroExamLevelConsciousness</t>
  </si>
  <si>
    <t>LH2CON</t>
  </si>
  <si>
    <t>OC2CON</t>
  </si>
  <si>
    <t>signOfHIELvlOfCons</t>
  </si>
  <si>
    <t>pre_NeuroExamSpontaneousActivity</t>
  </si>
  <si>
    <t>LH2SPON</t>
  </si>
  <si>
    <t>OC2SPON</t>
  </si>
  <si>
    <t>signOfHIESpontaneousActivity</t>
  </si>
  <si>
    <t>pre_NeuroExamPosture</t>
  </si>
  <si>
    <t>LH2POST</t>
  </si>
  <si>
    <t>OC2POST</t>
  </si>
  <si>
    <t>signOfHIEPosture</t>
  </si>
  <si>
    <t>pre_NeuroExamTone</t>
  </si>
  <si>
    <t>LH2TONE</t>
  </si>
  <si>
    <t>OC2TONE</t>
  </si>
  <si>
    <t>signOfHIETone</t>
  </si>
  <si>
    <t>pre_NeuroExamSuck</t>
  </si>
  <si>
    <t>LH2SUCK</t>
  </si>
  <si>
    <t>OC2SUCK</t>
  </si>
  <si>
    <t>signOfHIESuck</t>
  </si>
  <si>
    <t>pre_NeuroExamMoro</t>
  </si>
  <si>
    <t>LH2MORO</t>
  </si>
  <si>
    <t>OC2MORO</t>
  </si>
  <si>
    <t>signOfHIEMoro</t>
  </si>
  <si>
    <t>pre_NeuroExamPupils</t>
  </si>
  <si>
    <t>LH2PUPL</t>
  </si>
  <si>
    <t>OC2PUPL</t>
  </si>
  <si>
    <t>signOfHIEPupils</t>
  </si>
  <si>
    <t>pre_NeuroExamHeartRate</t>
  </si>
  <si>
    <t>LH2HR</t>
  </si>
  <si>
    <t>OC2HR</t>
  </si>
  <si>
    <t>signOfHIEHeartRate</t>
  </si>
  <si>
    <t>pre_NeuroExamRespiration</t>
  </si>
  <si>
    <t>LH2RESP</t>
  </si>
  <si>
    <t>OC2RESP</t>
  </si>
  <si>
    <t>signOfHIERespiratory</t>
  </si>
  <si>
    <t>pre_NeuroExamDate</t>
  </si>
  <si>
    <t>LH2NEDAT</t>
  </si>
  <si>
    <t>OC2NDAT</t>
  </si>
  <si>
    <t>pre_NeuroExamTime</t>
  </si>
  <si>
    <t>LH2NETIM</t>
  </si>
  <si>
    <t>OC2NTIM</t>
  </si>
  <si>
    <t>pre_NeuroExamSedate</t>
  </si>
  <si>
    <t>LH2SEDA</t>
  </si>
  <si>
    <t>OC2SEDA</t>
  </si>
  <si>
    <t>pre_NeuroExamSeizure</t>
  </si>
  <si>
    <t>LH2SEIZ</t>
  </si>
  <si>
    <t>OC2SEIZ</t>
  </si>
  <si>
    <t>pre_NeuroExamReflexScore</t>
  </si>
  <si>
    <t>pre_NeuroExamANSScore</t>
  </si>
  <si>
    <t>pre_TotalModifiedSarnatScore</t>
  </si>
  <si>
    <t>temperatureTimeSlot_min</t>
  </si>
  <si>
    <t>L6ATMPRD</t>
  </si>
  <si>
    <t>OC6TINTV</t>
  </si>
  <si>
    <t>Intervention</t>
  </si>
  <si>
    <t>temperatureTimeSlotNoForm</t>
  </si>
  <si>
    <t>OC6TINT</t>
  </si>
  <si>
    <t>temperatureDate</t>
  </si>
  <si>
    <t>OC6TTPDT</t>
  </si>
  <si>
    <t>temperatureTime</t>
  </si>
  <si>
    <t>OC6TTPTM</t>
  </si>
  <si>
    <t>skinTemperature_C</t>
  </si>
  <si>
    <t>OC6TSKNT</t>
  </si>
  <si>
    <t>axillaryTemperature_C</t>
  </si>
  <si>
    <t>OC6TAXIT</t>
  </si>
  <si>
    <t>esophagealTemperature_C</t>
  </si>
  <si>
    <t>OC6TESOT</t>
  </si>
  <si>
    <t>blanketTemperature_C</t>
  </si>
  <si>
    <t>L6ABLNKT</t>
  </si>
  <si>
    <t>OC6TBLKT</t>
  </si>
  <si>
    <t>servoSetTemperature_C</t>
  </si>
  <si>
    <t>OC6TSSPT</t>
  </si>
  <si>
    <t>alterationSkinIntegrity</t>
  </si>
  <si>
    <t>OC6TASI</t>
  </si>
  <si>
    <t>shiver</t>
  </si>
  <si>
    <t>OC6TSHIV</t>
  </si>
  <si>
    <t>cardioTimeSlot_min</t>
  </si>
  <si>
    <t>LH6CVINT</t>
  </si>
  <si>
    <t>OC7INTV</t>
  </si>
  <si>
    <t>cardioDate</t>
  </si>
  <si>
    <t>cardioTime</t>
  </si>
  <si>
    <t>cardioSystolicBloodPressure_mmHg</t>
  </si>
  <si>
    <t>cardioDiastolicBloodPressure_mmHg</t>
  </si>
  <si>
    <t>cardioHeartRate_BPM</t>
  </si>
  <si>
    <t>cardioVolumeExpand</t>
  </si>
  <si>
    <t>cardioInotropicAgent</t>
  </si>
  <si>
    <t>cardioBloodTransfusion</t>
  </si>
  <si>
    <t>cardioPlatelets</t>
  </si>
  <si>
    <t>respiratoryTimeSlot_min</t>
  </si>
  <si>
    <t>LH6RSINT</t>
  </si>
  <si>
    <t>OC8INTV</t>
  </si>
  <si>
    <t>Respiratory</t>
  </si>
  <si>
    <t>respiratoryDate</t>
  </si>
  <si>
    <t>LH6RSRDT</t>
  </si>
  <si>
    <t>OC8RSRDT</t>
  </si>
  <si>
    <t>respiratoryTime</t>
  </si>
  <si>
    <t>LH6RSRTM</t>
  </si>
  <si>
    <t>OC8RSRTM</t>
  </si>
  <si>
    <t>respiratorySupportType</t>
  </si>
  <si>
    <t>LH6RSSPT</t>
  </si>
  <si>
    <t>OC8RSSPT</t>
  </si>
  <si>
    <t>respiratoryFiO2</t>
  </si>
  <si>
    <t>LH6RSFIO</t>
  </si>
  <si>
    <t>OC8RSFIO</t>
  </si>
  <si>
    <t>respiratoryRate_Hz</t>
  </si>
  <si>
    <t>LH6RSRHZ</t>
  </si>
  <si>
    <t>OC8RSRHZ</t>
  </si>
  <si>
    <t>respiratoryPIP_cmH2O</t>
  </si>
  <si>
    <t>LH6RSPDP</t>
  </si>
  <si>
    <t>OC8RSPDP</t>
  </si>
  <si>
    <t>respiratoryMAP_cmH2O</t>
  </si>
  <si>
    <t>LH6RSMAP</t>
  </si>
  <si>
    <t>OC8RSMAP</t>
  </si>
  <si>
    <t>respiratoryPEEP_cmH2O</t>
  </si>
  <si>
    <t>LH6RSPEP</t>
  </si>
  <si>
    <t>OC8RSPEP</t>
  </si>
  <si>
    <t>bloodGasTimeSlot_min</t>
  </si>
  <si>
    <t>LH6BGINT</t>
  </si>
  <si>
    <t>Blood Gas</t>
  </si>
  <si>
    <t>bloodGasDate</t>
  </si>
  <si>
    <t>LH6BGDT</t>
  </si>
  <si>
    <t>OC7BGDT</t>
  </si>
  <si>
    <t>bloodGasTime</t>
  </si>
  <si>
    <t>LH6BGTM</t>
  </si>
  <si>
    <t>OC7BGTM</t>
  </si>
  <si>
    <t>OC7BGSRC</t>
  </si>
  <si>
    <t>bloodGasPH</t>
  </si>
  <si>
    <t>LH6BGPH</t>
  </si>
  <si>
    <t>OC7BGPH</t>
  </si>
  <si>
    <t>bloodGasPCO2_mmHg</t>
  </si>
  <si>
    <t>LH6BGPCO</t>
  </si>
  <si>
    <t>OC7BPCO</t>
  </si>
  <si>
    <t>bloodGasPO2_mmHg</t>
  </si>
  <si>
    <t>LH6BGPO2</t>
  </si>
  <si>
    <t>OC7BPO2</t>
  </si>
  <si>
    <t>bloodGasHCO3_mEqPerL</t>
  </si>
  <si>
    <t>LH6BGHCO</t>
  </si>
  <si>
    <t>OC7BHCO</t>
  </si>
  <si>
    <t>bloodGasBaseDeficit_mEqPerL</t>
  </si>
  <si>
    <t>LH6BGBD</t>
  </si>
  <si>
    <t>OC7BGBD</t>
  </si>
  <si>
    <t>bloodGasPHCorrect</t>
  </si>
  <si>
    <t>OC7BCPH</t>
  </si>
  <si>
    <t>bloodGasPCO2Correct_mmHg</t>
  </si>
  <si>
    <t>OC7BCPCO</t>
  </si>
  <si>
    <t>bloodGasPO2Correct_mmHg</t>
  </si>
  <si>
    <t>OC7BCPO2</t>
  </si>
  <si>
    <t>bloodGasHCO3Correct_mEqPerL</t>
  </si>
  <si>
    <t>OC7BCHCO</t>
  </si>
  <si>
    <t>bloodGasBaseDeficitCorrect_mEqPerL</t>
  </si>
  <si>
    <t>OC7BCBD</t>
  </si>
  <si>
    <t>hematology</t>
  </si>
  <si>
    <t>OC8HELAB</t>
  </si>
  <si>
    <t>Hematology CBC</t>
  </si>
  <si>
    <t>hematologyTimeSlot_min</t>
  </si>
  <si>
    <t>LH6HEINT</t>
  </si>
  <si>
    <t>hematologyDate</t>
  </si>
  <si>
    <t>LH6HERDT</t>
  </si>
  <si>
    <t>hematologyTime</t>
  </si>
  <si>
    <t>LH6HERTM</t>
  </si>
  <si>
    <t>hematologyWBC_cPermuL</t>
  </si>
  <si>
    <t>LH6HEWBC</t>
  </si>
  <si>
    <t>OC8HEWBC</t>
  </si>
  <si>
    <t>hematologyHemoglobin_gPerdL</t>
  </si>
  <si>
    <t>LH6HEHGB</t>
  </si>
  <si>
    <t>OC8HEHGB</t>
  </si>
  <si>
    <t>hematologyPolymorphNeutrophils_cPermuL</t>
  </si>
  <si>
    <t>LH6HEDCP</t>
  </si>
  <si>
    <t>OC8HEDCP</t>
  </si>
  <si>
    <t>hematologyMonocytes_cPermuL</t>
  </si>
  <si>
    <t>LH6HEDCM</t>
  </si>
  <si>
    <t>OC8HEDCM</t>
  </si>
  <si>
    <t>hematologyLymphocytes_cPermuL</t>
  </si>
  <si>
    <t>LH6HEDCL</t>
  </si>
  <si>
    <t>OC8HEDCL</t>
  </si>
  <si>
    <t>hematologyPlatelet_cPermuL</t>
  </si>
  <si>
    <t>LH6HEPCT</t>
  </si>
  <si>
    <t>OC8HEPCT</t>
  </si>
  <si>
    <t>hematologyPT_s</t>
  </si>
  <si>
    <t>LH6HEPT</t>
  </si>
  <si>
    <t>OC8HEPT</t>
  </si>
  <si>
    <t>hematologyPTT_s</t>
  </si>
  <si>
    <t>LH6HEPTT</t>
  </si>
  <si>
    <t>OC8HEPTT</t>
  </si>
  <si>
    <t>hematologyHematocritMin</t>
  </si>
  <si>
    <t>L6HMNHCT</t>
  </si>
  <si>
    <t>OC9HMMN</t>
  </si>
  <si>
    <t>hematologyHematocritMinDate</t>
  </si>
  <si>
    <t>OC9HMDA</t>
  </si>
  <si>
    <t>hematologyPlateletMin_cPermuL</t>
  </si>
  <si>
    <t>L6HMNPLC</t>
  </si>
  <si>
    <t>OC9PCMN</t>
  </si>
  <si>
    <t>hematologyPlateletMin_cPermuLDate</t>
  </si>
  <si>
    <t>OC9PCDA</t>
  </si>
  <si>
    <t>bloodValueBunBaseline_mgPerdL</t>
  </si>
  <si>
    <t>OC9BNBL</t>
  </si>
  <si>
    <t>Blood Value</t>
  </si>
  <si>
    <t>bloodValueBunBaseline_mgPerdLDate</t>
  </si>
  <si>
    <t>OC9BNDAT</t>
  </si>
  <si>
    <t>bloodValueCreatinineBaseline_mgPerdL</t>
  </si>
  <si>
    <t>OC9CRBL</t>
  </si>
  <si>
    <t>bloodValueCreatinineBaseline_mgPerdLDate</t>
  </si>
  <si>
    <t>OC9CRDAT</t>
  </si>
  <si>
    <t>bloodValueASTSGOTBaseline_UPerL</t>
  </si>
  <si>
    <t>OC9ASBL</t>
  </si>
  <si>
    <t>bloodValueASTSGOTBaseline_UPerLDate</t>
  </si>
  <si>
    <t>OC9ASDAT</t>
  </si>
  <si>
    <t>bloodValueALTSGPTBaseline_UPerL</t>
  </si>
  <si>
    <t>OC9ALBL</t>
  </si>
  <si>
    <t>bloodValueALTSGPTBaseline_UPerLDate</t>
  </si>
  <si>
    <t>OC9ALDAT</t>
  </si>
  <si>
    <t>bloodValueTotalBilirubinBaseline_mgPerdL</t>
  </si>
  <si>
    <t>OC9TBBL</t>
  </si>
  <si>
    <t>bloodValueTotalBilirubinBaseline_mgPerdLDate</t>
  </si>
  <si>
    <t>OC9TBDAT</t>
  </si>
  <si>
    <t>bloodValuePHMin</t>
  </si>
  <si>
    <t>L6BVNPH</t>
  </si>
  <si>
    <t>OC9PHMN</t>
  </si>
  <si>
    <t>bloodValuePHMinDate</t>
  </si>
  <si>
    <t>L6BVNPHD</t>
  </si>
  <si>
    <t>OC9PMID</t>
  </si>
  <si>
    <t>bloodValueHCO3Min_mEqPerL</t>
  </si>
  <si>
    <t>L6BVNHCO</t>
  </si>
  <si>
    <t>OC9HCMN</t>
  </si>
  <si>
    <t>bloodValueHCO3Min_mEqPerLDate</t>
  </si>
  <si>
    <t>L6BVNHCD</t>
  </si>
  <si>
    <t>OC9HCDA</t>
  </si>
  <si>
    <t>bloodValueSerumNaMin_mEqPerL</t>
  </si>
  <si>
    <t>L6BVNSS</t>
  </si>
  <si>
    <t>OC9SSMN</t>
  </si>
  <si>
    <t>bloodValueSerumNaMin_mEqPerLDate</t>
  </si>
  <si>
    <t>L6BVNSSD</t>
  </si>
  <si>
    <t>OC9SSDA</t>
  </si>
  <si>
    <t>bloodValueSerumKMin_mEqPerL</t>
  </si>
  <si>
    <t>L6BVNSP</t>
  </si>
  <si>
    <t>OC9SPMN</t>
  </si>
  <si>
    <t>bloodValueSerumKMin_mEqPerLDate</t>
  </si>
  <si>
    <t>L6BVNSPD</t>
  </si>
  <si>
    <t>OC9SPDA</t>
  </si>
  <si>
    <t>bloodValueClMin_mEqPerL</t>
  </si>
  <si>
    <t>L6BVNCL</t>
  </si>
  <si>
    <t>OC9CHMN</t>
  </si>
  <si>
    <t>bloodValueClMin_mEqPerLDate</t>
  </si>
  <si>
    <t>L6BVNCLD</t>
  </si>
  <si>
    <t>OC9CHDA</t>
  </si>
  <si>
    <t>bloodValueGlucoseMin_mgPerdL</t>
  </si>
  <si>
    <t>L6BVNGL</t>
  </si>
  <si>
    <t>OC9GLMN</t>
  </si>
  <si>
    <t>bloodValueGlucoseMin_mgPerdLDate</t>
  </si>
  <si>
    <t>L6BVNGLD</t>
  </si>
  <si>
    <t>OC9GLDA</t>
  </si>
  <si>
    <t>bloodValueTotalCaMin_mgPerdL</t>
  </si>
  <si>
    <t>L6BVNTC</t>
  </si>
  <si>
    <t>OC9TCMN</t>
  </si>
  <si>
    <t>bloodValueTotalCaMin_mgPerdLDate</t>
  </si>
  <si>
    <t>L6BVNTCD</t>
  </si>
  <si>
    <t>OC9TCDA</t>
  </si>
  <si>
    <t>bloodValueIonCaMin_mgPerdL</t>
  </si>
  <si>
    <t>L6BVNIC</t>
  </si>
  <si>
    <t>OC9IOMN</t>
  </si>
  <si>
    <t>bloodValueIonCaMin_mgPerdLDate</t>
  </si>
  <si>
    <t>L6BVNICD</t>
  </si>
  <si>
    <t>OC9IODA</t>
  </si>
  <si>
    <t>bloodValueASTSGOTMin_UPerL</t>
  </si>
  <si>
    <t>OC9ASMN</t>
  </si>
  <si>
    <t>bloodValueASTSGOTMin_UPerLDate</t>
  </si>
  <si>
    <t>OC9ASDA</t>
  </si>
  <si>
    <t>bloodValueALTSGPTMin_UPerL</t>
  </si>
  <si>
    <t>OC9ALMN</t>
  </si>
  <si>
    <t>bloodValueALTSGPTMin_UPerLDate</t>
  </si>
  <si>
    <t>OC9ALDA</t>
  </si>
  <si>
    <t>bloodValueTotalBilirubinMin_mgPerdL</t>
  </si>
  <si>
    <t>OC9TBMN</t>
  </si>
  <si>
    <t>bloodValueTotalBilirubinMin_mgPerdLDate</t>
  </si>
  <si>
    <t>OC9TBDA</t>
  </si>
  <si>
    <t>bloodValuePHMax</t>
  </si>
  <si>
    <t>L6BVXPH</t>
  </si>
  <si>
    <t>OC9PHMX</t>
  </si>
  <si>
    <t>bloodValuePHMaxDate</t>
  </si>
  <si>
    <t>L6BVXPHD</t>
  </si>
  <si>
    <t>OC9PMXD</t>
  </si>
  <si>
    <t>bloodValueBaseDeficitMax_mEqPerL</t>
  </si>
  <si>
    <t>L6BVXBD</t>
  </si>
  <si>
    <t>OC9BDMX</t>
  </si>
  <si>
    <t>bloodValueBaseDeficitMax_mEqPerLDate</t>
  </si>
  <si>
    <t>L6BVXBDD</t>
  </si>
  <si>
    <t>OC9BDMXD</t>
  </si>
  <si>
    <t>bloodValueSerumNaMax_mEqPerL</t>
  </si>
  <si>
    <t>L6BVXSS</t>
  </si>
  <si>
    <t>OC9SSMX</t>
  </si>
  <si>
    <t>bloodValueSerumNaMax_mEqPerLDate</t>
  </si>
  <si>
    <t>L6BVXSSD</t>
  </si>
  <si>
    <t>OC9SSMXD</t>
  </si>
  <si>
    <t>bloodValueSerumKMax_mEqPerL</t>
  </si>
  <si>
    <t>L6BVXSP</t>
  </si>
  <si>
    <t>OC9SPMX</t>
  </si>
  <si>
    <t>bloodValueSerumKMax_mEqPerLDate</t>
  </si>
  <si>
    <t>L6BVXSPD</t>
  </si>
  <si>
    <t>OC9SPMXD</t>
  </si>
  <si>
    <t>bloodValueClMax_mEqPerL</t>
  </si>
  <si>
    <t>L6BVXCL</t>
  </si>
  <si>
    <t>OC9CHMX</t>
  </si>
  <si>
    <t>bloodValueClMax_mEqPerLDate</t>
  </si>
  <si>
    <t>L6BVXCLD</t>
  </si>
  <si>
    <t>OC9CHMXD</t>
  </si>
  <si>
    <t>bloodValueBunMax_mgPerdL</t>
  </si>
  <si>
    <t>L6BVXBN</t>
  </si>
  <si>
    <t>OC9BNMX</t>
  </si>
  <si>
    <t>bloodValueBunMax_mgPerdLDate</t>
  </si>
  <si>
    <t>L6BVXBND</t>
  </si>
  <si>
    <t>OC9BNMXD</t>
  </si>
  <si>
    <t>bloodValueCreatinineMax_mgPerdL</t>
  </si>
  <si>
    <t>L6BVXCR</t>
  </si>
  <si>
    <t>OC9CRMX</t>
  </si>
  <si>
    <t>bloodValueCreatinineMax_mgPerdLDate</t>
  </si>
  <si>
    <t>L6BVXCRD</t>
  </si>
  <si>
    <t>OC9CRMXD</t>
  </si>
  <si>
    <t>bloodValueGlucoseMax_mgPerdL</t>
  </si>
  <si>
    <t>L6BVXGL</t>
  </si>
  <si>
    <t>OC9GLMX</t>
  </si>
  <si>
    <t>bloodValueGlucoseMax_mgPerdLDate</t>
  </si>
  <si>
    <t>L6BVXGLD</t>
  </si>
  <si>
    <t>OC9GLMXD</t>
  </si>
  <si>
    <t>bloodValueTotalCaMax_mgPerdL</t>
  </si>
  <si>
    <t>OC9TCMX</t>
  </si>
  <si>
    <t>bloodValueTotalCaMax_mgPerdLDate</t>
  </si>
  <si>
    <t>OC9TCMXD</t>
  </si>
  <si>
    <t>bloodValueIonCaMax_mgPerdL</t>
  </si>
  <si>
    <t>OC9IOMX</t>
  </si>
  <si>
    <t>bloodValueIonCaMax_mgPerdLDate</t>
  </si>
  <si>
    <t>OC9IOMXD</t>
  </si>
  <si>
    <t>bloodValueASTSGOTMax_UPerL</t>
  </si>
  <si>
    <t>L6BVXAS</t>
  </si>
  <si>
    <t>OC9ASMX</t>
  </si>
  <si>
    <t>bloodValueASTSGOTMax_UPerLDate</t>
  </si>
  <si>
    <t>L6BVXASD</t>
  </si>
  <si>
    <t>OC9ASMXD</t>
  </si>
  <si>
    <t>bloodValueALTSGPTMax_UPerL</t>
  </si>
  <si>
    <t>L6BVXAL</t>
  </si>
  <si>
    <t>OC9ALMX</t>
  </si>
  <si>
    <t>bloodValueALTSGPTMax_UPerLDate</t>
  </si>
  <si>
    <t>L6BVXALD</t>
  </si>
  <si>
    <t>OC9ALMXD</t>
  </si>
  <si>
    <t>bloodValueTotalBilirubinMax_mgPerdL</t>
  </si>
  <si>
    <t>OC9TBMX</t>
  </si>
  <si>
    <t>bloodValueTotalBilirubinMax_mgPerdLDate</t>
  </si>
  <si>
    <t>OC9TBMXD</t>
  </si>
  <si>
    <t>positiveCultureNumber</t>
  </si>
  <si>
    <t>OC9IPCNU</t>
  </si>
  <si>
    <t>positiveCulture</t>
  </si>
  <si>
    <t>L6FPCRAB</t>
  </si>
  <si>
    <t>L6FPARC</t>
  </si>
  <si>
    <t>OC9ISOUR</t>
  </si>
  <si>
    <t>positiveCultureDate</t>
  </si>
  <si>
    <t>L6FPADT</t>
  </si>
  <si>
    <t>OC9IDATE</t>
  </si>
  <si>
    <t>positiveCultureTime</t>
  </si>
  <si>
    <t>L6FPATM</t>
  </si>
  <si>
    <t>OC9ITIME</t>
  </si>
  <si>
    <t>positiveCultureOrganismCode1</t>
  </si>
  <si>
    <t>L6FPAOC1</t>
  </si>
  <si>
    <t>OC9IOCO1</t>
  </si>
  <si>
    <t>L6FPAAB</t>
  </si>
  <si>
    <t>OC9ATBL</t>
  </si>
  <si>
    <t>antibioticsCode1</t>
  </si>
  <si>
    <t>L6FPAAC1</t>
  </si>
  <si>
    <t>OC9AABC1</t>
  </si>
  <si>
    <t>rewarmingAntibiotics</t>
  </si>
  <si>
    <t>OC9ATRW</t>
  </si>
  <si>
    <t>rewarmingAntibioticsCode1</t>
  </si>
  <si>
    <t>OC9ARWC1</t>
  </si>
  <si>
    <t>otherMedTimeSlot_min</t>
  </si>
  <si>
    <t>LH6OMINT</t>
  </si>
  <si>
    <t>otherMedTargetDate</t>
  </si>
  <si>
    <t>otherMedTargetTime</t>
  </si>
  <si>
    <t>anticonvulsants1</t>
  </si>
  <si>
    <t>analgesicsSedatives1</t>
  </si>
  <si>
    <t>antipyretics1</t>
  </si>
  <si>
    <t>paralytics1</t>
  </si>
  <si>
    <t>otherMedFluidIntake_ccPerKg</t>
  </si>
  <si>
    <t>otherMedUrineOutput_ccPerKg</t>
  </si>
  <si>
    <t>imagingNumber</t>
  </si>
  <si>
    <t>LH9IMGTP</t>
  </si>
  <si>
    <t>OC12INTV</t>
  </si>
  <si>
    <t>headSonogram</t>
  </si>
  <si>
    <t>headSonogramDate</t>
  </si>
  <si>
    <t>headSonogramTime</t>
  </si>
  <si>
    <t>headSonogramResult1</t>
  </si>
  <si>
    <t>headSonogramResultText</t>
  </si>
  <si>
    <t>headCT</t>
  </si>
  <si>
    <t>headCTDate</t>
  </si>
  <si>
    <t>headCTTime</t>
  </si>
  <si>
    <t>headCTResult1</t>
  </si>
  <si>
    <t>headCTResultText</t>
  </si>
  <si>
    <t>brainMRI</t>
  </si>
  <si>
    <t>brainMRIDate</t>
  </si>
  <si>
    <t>brainMRITime</t>
  </si>
  <si>
    <t>brainMRIResult1</t>
  </si>
  <si>
    <t>brainMRIResultText</t>
  </si>
  <si>
    <t>elevatedTempNumber</t>
  </si>
  <si>
    <t>LH6ARNUM</t>
  </si>
  <si>
    <t>Elevated Temperature</t>
  </si>
  <si>
    <t>elevatedTempMin</t>
  </si>
  <si>
    <t>LH6AMIN</t>
  </si>
  <si>
    <t>elevatedTempDate</t>
  </si>
  <si>
    <t>LH6ADATE</t>
  </si>
  <si>
    <t>elevatedTempTime</t>
  </si>
  <si>
    <t>LH6ATIME</t>
  </si>
  <si>
    <t>elevatedTempSkinTemperature_C</t>
  </si>
  <si>
    <t>LH6ASKIN</t>
  </si>
  <si>
    <t>elevatedTempAxillaryTemperature_C</t>
  </si>
  <si>
    <t>LH6AAXIL</t>
  </si>
  <si>
    <t>elevatedTempEsophagealTemperature_C</t>
  </si>
  <si>
    <t>LH6AESOP</t>
  </si>
  <si>
    <t>elevatedTempServoSet_C</t>
  </si>
  <si>
    <t>LH6ASERV</t>
  </si>
  <si>
    <t>elevatedTempDevice</t>
  </si>
  <si>
    <t>LH6ADEVI</t>
  </si>
  <si>
    <t>elevatedTempDeviceMode</t>
  </si>
  <si>
    <t>LH6AMODE</t>
  </si>
  <si>
    <t>elevatedTempAirTemperature_C</t>
  </si>
  <si>
    <t>LH6AATEM</t>
  </si>
  <si>
    <t>elevatedTempBath</t>
  </si>
  <si>
    <t>LH6ABATH</t>
  </si>
  <si>
    <t>elevatedTempNoBathReason</t>
  </si>
  <si>
    <t>LH6AREAS</t>
  </si>
  <si>
    <t>elevatedTempBlanketrol</t>
  </si>
  <si>
    <t>LH6ABLAN</t>
  </si>
  <si>
    <t>fluctuateTempNumber</t>
  </si>
  <si>
    <t>LH6FRNUM</t>
  </si>
  <si>
    <t>Fluctuated Temperature</t>
  </si>
  <si>
    <t>fluctuateTempMin</t>
  </si>
  <si>
    <t>LH6FMIN</t>
  </si>
  <si>
    <t>fluctuateTempDate</t>
  </si>
  <si>
    <t>LH6FDATE</t>
  </si>
  <si>
    <t>fluctuateTempTime</t>
  </si>
  <si>
    <t>LH6FTIME</t>
  </si>
  <si>
    <t>fluctuateTempSkinTemperature_C</t>
  </si>
  <si>
    <t>LH6FSKIN</t>
  </si>
  <si>
    <t>fluctuateTempAxillaryTemperature_C</t>
  </si>
  <si>
    <t>LH6FAXIL</t>
  </si>
  <si>
    <t>fluctuateTempEsophagealTemperature_C</t>
  </si>
  <si>
    <t>LH6FESOP</t>
  </si>
  <si>
    <t>fluctuateTempBlanketrol_C</t>
  </si>
  <si>
    <t>LH6FBLAN</t>
  </si>
  <si>
    <t>fluctuateTempServoSet_C</t>
  </si>
  <si>
    <t>LH6FSERV</t>
  </si>
  <si>
    <t>bradycardiaEventNumber</t>
  </si>
  <si>
    <t>O17RPTNM</t>
  </si>
  <si>
    <t>Bradycardia</t>
  </si>
  <si>
    <t>bradycardiaLess70Greater15min</t>
  </si>
  <si>
    <t>O17CSBC</t>
  </si>
  <si>
    <t>bradycardiaEKG</t>
  </si>
  <si>
    <t>O17EKG</t>
  </si>
  <si>
    <t>bradycardiaEKGResult</t>
  </si>
  <si>
    <t>O17EKGR</t>
  </si>
  <si>
    <t>bradycardiaEKGResultOtherText</t>
  </si>
  <si>
    <t>O17EKGRS</t>
  </si>
  <si>
    <t>bradycardiaAntiarrhythmiaMedication</t>
  </si>
  <si>
    <t>O17AAMED</t>
  </si>
  <si>
    <t>bradycardiaDate</t>
  </si>
  <si>
    <t>O17EBSDT</t>
  </si>
  <si>
    <t>bradycardiaTime</t>
  </si>
  <si>
    <t>O17EBSTM</t>
  </si>
  <si>
    <t>bradycardiaDuration</t>
  </si>
  <si>
    <t>O17EBDUR</t>
  </si>
  <si>
    <t>bradycardiaHeartRateMin</t>
  </si>
  <si>
    <t>O17EBLHR</t>
  </si>
  <si>
    <t>adverseEventNumber</t>
  </si>
  <si>
    <t>LH7EVNM</t>
  </si>
  <si>
    <t>OC15EVNM</t>
  </si>
  <si>
    <t>Adverse Event</t>
  </si>
  <si>
    <t>SAECardiacExperienceOnsetDate</t>
  </si>
  <si>
    <t>LH7CDTO</t>
  </si>
  <si>
    <t>OC15CDTO</t>
  </si>
  <si>
    <t>SAECardiacExperienceOnsetTime</t>
  </si>
  <si>
    <t>LH7CTMO</t>
  </si>
  <si>
    <t>OC15CTMO</t>
  </si>
  <si>
    <t>SAECardiacExperienceResolveDate</t>
  </si>
  <si>
    <t>LH7CDTR</t>
  </si>
  <si>
    <t>OC15CDTR</t>
  </si>
  <si>
    <t>SAECardiacExperienceResolveTime</t>
  </si>
  <si>
    <t>LH7CTMR</t>
  </si>
  <si>
    <t>OC15CTMR</t>
  </si>
  <si>
    <t>SAECardiacExperienceDueToHypothermia</t>
  </si>
  <si>
    <t>LH7CATT</t>
  </si>
  <si>
    <t>OC15CATT</t>
  </si>
  <si>
    <t>SAEAttributable</t>
  </si>
  <si>
    <t>SAECardiacExperienceActionTaken</t>
  </si>
  <si>
    <t>LH7CACT</t>
  </si>
  <si>
    <t>OC15CACT</t>
  </si>
  <si>
    <t>SAEAction</t>
  </si>
  <si>
    <t>SAECardiacExperienceOutcome</t>
  </si>
  <si>
    <t>LH7COUT</t>
  </si>
  <si>
    <t>OC15COUT</t>
  </si>
  <si>
    <t>SAEOutcome</t>
  </si>
  <si>
    <t>SAECardiacExperienceComment</t>
  </si>
  <si>
    <t>LH7CCOM</t>
  </si>
  <si>
    <t>OC15CCOM</t>
  </si>
  <si>
    <t>SAEMetabolicAcidosisOnsetDate</t>
  </si>
  <si>
    <t>LH7MDTO</t>
  </si>
  <si>
    <t>OC15MDTO</t>
  </si>
  <si>
    <t>SAEMetabolicAcidosisOnsetTime</t>
  </si>
  <si>
    <t>LH7MTMO</t>
  </si>
  <si>
    <t>OC15MTMO</t>
  </si>
  <si>
    <t>SAEMetabolicAcidosisResolveDate</t>
  </si>
  <si>
    <t>LH7MDTR</t>
  </si>
  <si>
    <t>OC15MDTR</t>
  </si>
  <si>
    <t>SAEMetabolicAcidosisResolveTime</t>
  </si>
  <si>
    <t>LH7MTMR</t>
  </si>
  <si>
    <t>OC15MTMR</t>
  </si>
  <si>
    <t>SAEMetabolicAcidosisDueToHypothermia</t>
  </si>
  <si>
    <t>LH7MATT</t>
  </si>
  <si>
    <t>OC15MATT</t>
  </si>
  <si>
    <t>SAEMetabolicAcidosisActionTaken</t>
  </si>
  <si>
    <t>LH7MACT</t>
  </si>
  <si>
    <t>OC15MACT</t>
  </si>
  <si>
    <t>SAEMetabolicAcidosisOutcome</t>
  </si>
  <si>
    <t>LH7MOUT</t>
  </si>
  <si>
    <t>OC15MOUT</t>
  </si>
  <si>
    <t>SAEMetabolicAcidosisComment</t>
  </si>
  <si>
    <t>LH7MCOM</t>
  </si>
  <si>
    <t>OC15MCOM</t>
  </si>
  <si>
    <t>SAEThrombosisExperienceOnsetDate</t>
  </si>
  <si>
    <t>LH7TDTO</t>
  </si>
  <si>
    <t>OC15TDTO</t>
  </si>
  <si>
    <t>SAEThrombosisExperienceOnsetTime</t>
  </si>
  <si>
    <t>LH7TTMO</t>
  </si>
  <si>
    <t>OC15TTMO</t>
  </si>
  <si>
    <t>SAEThrombosisExperienceResolveDate</t>
  </si>
  <si>
    <t>LH7TDTR</t>
  </si>
  <si>
    <t>OC15TDTR</t>
  </si>
  <si>
    <t>SAEThrombosisExperienceResolveTime</t>
  </si>
  <si>
    <t>LH7TTMR</t>
  </si>
  <si>
    <t>OC15TTMR</t>
  </si>
  <si>
    <t>SAEThrombosisExperienceDueToHypothermia</t>
  </si>
  <si>
    <t>LH7TATT</t>
  </si>
  <si>
    <t>OC15TATT</t>
  </si>
  <si>
    <t>SAEThrombosisExperienceActionTaken</t>
  </si>
  <si>
    <t>LH7TACT</t>
  </si>
  <si>
    <t>OC15TACT</t>
  </si>
  <si>
    <t>SAEThrombosisExperienceOutcome</t>
  </si>
  <si>
    <t>LH7TOUT</t>
  </si>
  <si>
    <t>OC15TOUT</t>
  </si>
  <si>
    <t>SAEThrombosisExperienceComment</t>
  </si>
  <si>
    <t>LH7TCOM</t>
  </si>
  <si>
    <t>OC15TCOM</t>
  </si>
  <si>
    <t>SAEBleedingExperienceOnsetDate</t>
  </si>
  <si>
    <t>LH7BDTO</t>
  </si>
  <si>
    <t>OC15BDTO</t>
  </si>
  <si>
    <t>SAEBleedingExperienceOnsetTime</t>
  </si>
  <si>
    <t>LH7BTMO</t>
  </si>
  <si>
    <t>OC15BTMO</t>
  </si>
  <si>
    <t>SAEBleedingExperienceResolveDate</t>
  </si>
  <si>
    <t>LH7BDTR</t>
  </si>
  <si>
    <t>OC15BDTR</t>
  </si>
  <si>
    <t>SAEBleedingExperienceResolveTime</t>
  </si>
  <si>
    <t>LH7BTMR</t>
  </si>
  <si>
    <t>OC15BTMR</t>
  </si>
  <si>
    <t>SAEBleedingExperienceDueToHypothermia</t>
  </si>
  <si>
    <t>LH7BATT</t>
  </si>
  <si>
    <t>OC15BATT</t>
  </si>
  <si>
    <t>SAEBleedingExperienceActionTaken</t>
  </si>
  <si>
    <t>LH7BACT</t>
  </si>
  <si>
    <t>OC15BACT</t>
  </si>
  <si>
    <t>SAEBleedingExperienceOutcome</t>
  </si>
  <si>
    <t>LH7BOUT</t>
  </si>
  <si>
    <t>OC15BOUT</t>
  </si>
  <si>
    <t>SAEBleedingExperienceComment</t>
  </si>
  <si>
    <t>LH7BCOM</t>
  </si>
  <si>
    <t>OC15BCOM</t>
  </si>
  <si>
    <t>SAEAlterationSkinIntegrity</t>
  </si>
  <si>
    <t>LH7ALT</t>
  </si>
  <si>
    <t>OC15ALT</t>
  </si>
  <si>
    <t>SAEAlterationSkinIntegrityOnsetDate</t>
  </si>
  <si>
    <t>OC15ADTO</t>
  </si>
  <si>
    <t>SAEAlterationSkinIntegrityResolveDate</t>
  </si>
  <si>
    <t>OC15ADTR</t>
  </si>
  <si>
    <t>SAEAlterationSkinIntegrityDueToHypothermia</t>
  </si>
  <si>
    <t>LH7AATT</t>
  </si>
  <si>
    <t>OC15AATT</t>
  </si>
  <si>
    <t>SAEAlterationSkinIntegrityActionTaken</t>
  </si>
  <si>
    <t>LH7ACT</t>
  </si>
  <si>
    <t>OC15ACT</t>
  </si>
  <si>
    <t>SAEAlterationSkinIntegrityOutcome</t>
  </si>
  <si>
    <t>LH7AOUT</t>
  </si>
  <si>
    <t>OC15AOUT</t>
  </si>
  <si>
    <t>SAEAlterationSkinIntegrityComment</t>
  </si>
  <si>
    <t>LH7ACOM</t>
  </si>
  <si>
    <t>OC15ACOM</t>
  </si>
  <si>
    <t>SAEDeathDate</t>
  </si>
  <si>
    <t>LH7DDT</t>
  </si>
  <si>
    <t>OC15DDT</t>
  </si>
  <si>
    <t>SAEDeathTime</t>
  </si>
  <si>
    <t>LH7DTM</t>
  </si>
  <si>
    <t>OC15DTM</t>
  </si>
  <si>
    <t>SAEDeathDueToHypothermia</t>
  </si>
  <si>
    <t>LH7DATT</t>
  </si>
  <si>
    <t>OC15DATT</t>
  </si>
  <si>
    <t>SAEDeathActionTaken</t>
  </si>
  <si>
    <t>LH7DACT</t>
  </si>
  <si>
    <t>OC15DACT</t>
  </si>
  <si>
    <t>SAEDeathOutcome</t>
  </si>
  <si>
    <t>LH7DOUT</t>
  </si>
  <si>
    <t>OC15DOUT</t>
  </si>
  <si>
    <t>SAEDeathComment</t>
  </si>
  <si>
    <t>LH7DCOM</t>
  </si>
  <si>
    <t>OC15DCOM</t>
  </si>
  <si>
    <t>SAEOther</t>
  </si>
  <si>
    <t>LH7OSAE</t>
  </si>
  <si>
    <t>OC15OSP</t>
  </si>
  <si>
    <t>SAEOtherOnsetDate</t>
  </si>
  <si>
    <t>LH7ODTO</t>
  </si>
  <si>
    <t>OC15ODTO</t>
  </si>
  <si>
    <t>SAEOtherOnsetTime</t>
  </si>
  <si>
    <t>LH7OTMO</t>
  </si>
  <si>
    <t>OC15OTMO</t>
  </si>
  <si>
    <t>SAEOtherResolveDate</t>
  </si>
  <si>
    <t>LH7ODTR</t>
  </si>
  <si>
    <t>OC15ODTR</t>
  </si>
  <si>
    <t>SAEOtherResolveTime</t>
  </si>
  <si>
    <t>LH7OTMR</t>
  </si>
  <si>
    <t>OC15OTMR</t>
  </si>
  <si>
    <t>SAEOtherDueToHypothermia</t>
  </si>
  <si>
    <t>LH7OATT</t>
  </si>
  <si>
    <t>OC15OATT</t>
  </si>
  <si>
    <t>SAEOtherActionTaken</t>
  </si>
  <si>
    <t>LH7OACT</t>
  </si>
  <si>
    <t>OC15OACT</t>
  </si>
  <si>
    <t>SAEOtherOutcome</t>
  </si>
  <si>
    <t>LH7OOUT</t>
  </si>
  <si>
    <t>OC15OOUT</t>
  </si>
  <si>
    <t>SAEOtherComment</t>
  </si>
  <si>
    <t>LH7OCOM</t>
  </si>
  <si>
    <t>OC15OCOM</t>
  </si>
  <si>
    <t>violationNumber</t>
  </si>
  <si>
    <t>LH14VINM</t>
  </si>
  <si>
    <t>OC14RPTN</t>
  </si>
  <si>
    <t>Violation</t>
  </si>
  <si>
    <t>violationDate</t>
  </si>
  <si>
    <t>LH14VIDT</t>
  </si>
  <si>
    <t>OC14DATE</t>
  </si>
  <si>
    <t>violationNature</t>
  </si>
  <si>
    <t>LH14VINT</t>
  </si>
  <si>
    <t>OC14NOPV</t>
  </si>
  <si>
    <t>violationTreatmentAssign</t>
  </si>
  <si>
    <t>OC14TRAS</t>
  </si>
  <si>
    <t>violationTreatmentReceive</t>
  </si>
  <si>
    <t>OC14TRRC</t>
  </si>
  <si>
    <t>violationOtherText</t>
  </si>
  <si>
    <t>LH14OTSP</t>
  </si>
  <si>
    <t>OC14PVSP</t>
  </si>
  <si>
    <t>violationCircumstance</t>
  </si>
  <si>
    <t>LH14CIRC</t>
  </si>
  <si>
    <t>OC14CIRC</t>
  </si>
  <si>
    <t>violationOtherCirumstanceText</t>
  </si>
  <si>
    <t>LH14CIRS</t>
  </si>
  <si>
    <t>OC14CIRS</t>
  </si>
  <si>
    <t>violationComment</t>
  </si>
  <si>
    <t>LH14INFO</t>
  </si>
  <si>
    <t>OC14COMM</t>
  </si>
  <si>
    <t>interruptNumber</t>
  </si>
  <si>
    <t>OC10RPTN</t>
  </si>
  <si>
    <t>Interrupt</t>
  </si>
  <si>
    <t>interrupt</t>
  </si>
  <si>
    <t>OC10INT</t>
  </si>
  <si>
    <t>interruptReason</t>
  </si>
  <si>
    <t>OC10INTR</t>
  </si>
  <si>
    <t>interruptReasonText</t>
  </si>
  <si>
    <t>OC10SPFY</t>
  </si>
  <si>
    <t>interruptDate</t>
  </si>
  <si>
    <t>OC10IDAT</t>
  </si>
  <si>
    <t>interruptTime</t>
  </si>
  <si>
    <t>OC10ITIM</t>
  </si>
  <si>
    <t>interruptRestartDate</t>
  </si>
  <si>
    <t>OC10RDAT</t>
  </si>
  <si>
    <t>interruptRestartTime</t>
  </si>
  <si>
    <t>OC10RTIM</t>
  </si>
  <si>
    <t>interruptRestartEsophagealTemperature_C</t>
  </si>
  <si>
    <t>OC10TEMP</t>
  </si>
  <si>
    <t>discontinueDate</t>
  </si>
  <si>
    <t>LH10DTDC</t>
  </si>
  <si>
    <t>OC6NCEDT</t>
  </si>
  <si>
    <t>Discontinue</t>
  </si>
  <si>
    <t>discontinueTime</t>
  </si>
  <si>
    <t>LH10TMDC</t>
  </si>
  <si>
    <t>OC6NCETM</t>
  </si>
  <si>
    <t>discontinueBeforeEndPeriod</t>
  </si>
  <si>
    <t>LH10DC96</t>
  </si>
  <si>
    <t>OC6CLTEP</t>
  </si>
  <si>
    <t>discontinueParentsWithdraw</t>
  </si>
  <si>
    <t>LH10PARW</t>
  </si>
  <si>
    <t>OC6NCEPR</t>
  </si>
  <si>
    <t>discontinuePhysicianWithdraw</t>
  </si>
  <si>
    <t>LH10MDWD</t>
  </si>
  <si>
    <t>discontinueAdverseEvent</t>
  </si>
  <si>
    <t>LH10ADVR</t>
  </si>
  <si>
    <t>discontinueECMO</t>
  </si>
  <si>
    <t>LH10EMCO</t>
  </si>
  <si>
    <t>discontinueDNR</t>
  </si>
  <si>
    <t>discontinueWdrawSupport</t>
  </si>
  <si>
    <t>discontinueDeath</t>
  </si>
  <si>
    <t>LH10DEAT</t>
  </si>
  <si>
    <t>discontinueOther</t>
  </si>
  <si>
    <t>LH10OTH</t>
  </si>
  <si>
    <t>discontinueOtherText</t>
  </si>
  <si>
    <t>LH10OTHS</t>
  </si>
  <si>
    <t>OC6NCERS</t>
  </si>
  <si>
    <t>post_TemperatureTimeSlot_day</t>
  </si>
  <si>
    <t>L6AHTDAY</t>
  </si>
  <si>
    <t>OC6DINTV</t>
  </si>
  <si>
    <t>Post-intervention</t>
  </si>
  <si>
    <t>post_TemperatureDate</t>
  </si>
  <si>
    <t>L6AHTDT</t>
  </si>
  <si>
    <t>OC6DTPDT</t>
  </si>
  <si>
    <t>post_TemperatureTime</t>
  </si>
  <si>
    <t>L6AHTTM</t>
  </si>
  <si>
    <t>OC6DTPTM</t>
  </si>
  <si>
    <t>post_SkinTemperature_C</t>
  </si>
  <si>
    <t>L6AHTST</t>
  </si>
  <si>
    <t>OC6DSKNT</t>
  </si>
  <si>
    <t>post_AxillaryTemperature_C</t>
  </si>
  <si>
    <t>L6AHTAT</t>
  </si>
  <si>
    <t>OC6DAXIT</t>
  </si>
  <si>
    <t>post_AlterationSkinIntegrity</t>
  </si>
  <si>
    <t>OC6DASI</t>
  </si>
  <si>
    <t>post_Shiver</t>
  </si>
  <si>
    <t>OC6DSHIV</t>
  </si>
  <si>
    <t>normothermiaAtEndIntervention</t>
  </si>
  <si>
    <t>OC6RCHNT</t>
  </si>
  <si>
    <t>normothermiaDate</t>
  </si>
  <si>
    <t>OC6RNDAT</t>
  </si>
  <si>
    <t>normothermiaTime</t>
  </si>
  <si>
    <t>OC6RNTIM</t>
  </si>
  <si>
    <t>normothermiaAxillaryTemperature_C</t>
  </si>
  <si>
    <t>OC6RNTMP</t>
  </si>
  <si>
    <t>noNormothermiaReason</t>
  </si>
  <si>
    <t>OC6RNNRN</t>
  </si>
  <si>
    <t>coolAfterIntervention</t>
  </si>
  <si>
    <t>OC6NCECC</t>
  </si>
  <si>
    <t>coolAfterInterventionText</t>
  </si>
  <si>
    <t>OC6NCECS</t>
  </si>
  <si>
    <t>post_BloodValueASTSGOT_UPerL</t>
  </si>
  <si>
    <t>OC9ASES</t>
  </si>
  <si>
    <t>post_BloodValueASTSGOT_UPerLDate</t>
  </si>
  <si>
    <t>OC9ASESD</t>
  </si>
  <si>
    <t>post_BloodValueALTSGPT_UPerL</t>
  </si>
  <si>
    <t>OC9ALES</t>
  </si>
  <si>
    <t>post_BloodValueALTSGPT_UPerLDate</t>
  </si>
  <si>
    <t>OC9ALESD</t>
  </si>
  <si>
    <t>post_BloodValueTotalBilirubin_mgPerdL</t>
  </si>
  <si>
    <t>OC9TBES</t>
  </si>
  <si>
    <t>post_BloodValueTotalBilirubin_mgPerdLDate</t>
  </si>
  <si>
    <t>OC9TBESD</t>
  </si>
  <si>
    <t>post_HeadSonogram</t>
  </si>
  <si>
    <t>post_HeadSonogramDate</t>
  </si>
  <si>
    <t>post_HeadSonogramTime</t>
  </si>
  <si>
    <t>post_HeadSonogramResult1</t>
  </si>
  <si>
    <t>post_HeadSonogramResultText</t>
  </si>
  <si>
    <t>post_HeadCT</t>
  </si>
  <si>
    <t>post_HeadCTDate</t>
  </si>
  <si>
    <t>post_HeadCTTime</t>
  </si>
  <si>
    <t>post_HeadCTResult1</t>
  </si>
  <si>
    <t>post_HeadCTResultText</t>
  </si>
  <si>
    <t>post_BrainMRI</t>
  </si>
  <si>
    <t>post_BrainMRIDate</t>
  </si>
  <si>
    <t>post_BrainMRITime</t>
  </si>
  <si>
    <t>post_BrainMRIResult1</t>
  </si>
  <si>
    <t>post_BrainMRIResultText</t>
  </si>
  <si>
    <t>post_NeuroExamDate</t>
  </si>
  <si>
    <t>LH11DT_1</t>
  </si>
  <si>
    <t>OC11EXDT</t>
  </si>
  <si>
    <t>post_NeuroExamTime</t>
  </si>
  <si>
    <t>LH11TM_1</t>
  </si>
  <si>
    <t>OC11EXTM</t>
  </si>
  <si>
    <t>post_NeuroExamLevelConsciousness</t>
  </si>
  <si>
    <t>LH11LC_1</t>
  </si>
  <si>
    <t>OC11C_LC</t>
  </si>
  <si>
    <t>post_NeuroExamSpontaneousActivity</t>
  </si>
  <si>
    <t>LH11SP_1</t>
  </si>
  <si>
    <t>OC11CSPA</t>
  </si>
  <si>
    <t>post_NeuroExamPosture</t>
  </si>
  <si>
    <t>LH11PO_1</t>
  </si>
  <si>
    <t>OC11CPOS</t>
  </si>
  <si>
    <t>post_NeuroExamTone</t>
  </si>
  <si>
    <t>LH11TO_1</t>
  </si>
  <si>
    <t>OC11C_DT</t>
  </si>
  <si>
    <t>post_NeuroExamSuck</t>
  </si>
  <si>
    <t>LH11SC_1</t>
  </si>
  <si>
    <t>OC11CPRS</t>
  </si>
  <si>
    <t>post_NeuroExamMoro</t>
  </si>
  <si>
    <t>LH11MR_1</t>
  </si>
  <si>
    <t>OC11CPRM</t>
  </si>
  <si>
    <t>post_NeuroExamPupils</t>
  </si>
  <si>
    <t>LH11PU_1</t>
  </si>
  <si>
    <t>OC11CASP</t>
  </si>
  <si>
    <t>post_NeuroExamHeartRate</t>
  </si>
  <si>
    <t>LH11HR_1</t>
  </si>
  <si>
    <t>OC11CASH</t>
  </si>
  <si>
    <t>post_NeuroExamRespiration</t>
  </si>
  <si>
    <t>LH11RS_1</t>
  </si>
  <si>
    <t>OC11CASR</t>
  </si>
  <si>
    <t>post_NeuroExamSeizure</t>
  </si>
  <si>
    <t>LH11SZ_1</t>
  </si>
  <si>
    <t>OC11CLSZ</t>
  </si>
  <si>
    <t>post_NeuroExamSedate</t>
  </si>
  <si>
    <t>LH11SE_1</t>
  </si>
  <si>
    <t>OC11ISED</t>
  </si>
  <si>
    <t>post_NeuroExamClonusSustained</t>
  </si>
  <si>
    <t>LH11CL_1</t>
  </si>
  <si>
    <t>OC11AFCL</t>
  </si>
  <si>
    <t>post_NeuroExamFistedHand</t>
  </si>
  <si>
    <t>LH11FS_1</t>
  </si>
  <si>
    <t>OC11AFFH</t>
  </si>
  <si>
    <t>post_NeuroExamAbnormalMovement</t>
  </si>
  <si>
    <t>LH11MO_1</t>
  </si>
  <si>
    <t>OC11AFAM</t>
  </si>
  <si>
    <t>post_NeuroExamGagReflexAbsent</t>
  </si>
  <si>
    <t>LH11GA_1</t>
  </si>
  <si>
    <t>OC11AFGR</t>
  </si>
  <si>
    <t>post_NeuroExamHypertonia</t>
  </si>
  <si>
    <t>LH11HY_1</t>
  </si>
  <si>
    <t>post_NeuroExamAsymTonicNeckReflex</t>
  </si>
  <si>
    <t>OC11AFNR</t>
  </si>
  <si>
    <t>post_NeuroExamReflexScore</t>
  </si>
  <si>
    <t>post_NeuroExamANSScore</t>
  </si>
  <si>
    <t>post_TotalModifiedSarnatScore</t>
  </si>
  <si>
    <t>siteID</t>
  </si>
  <si>
    <t>SITENM</t>
  </si>
  <si>
    <t>MRI</t>
  </si>
  <si>
    <t>MRIIncrement</t>
  </si>
  <si>
    <t>Increment</t>
  </si>
  <si>
    <t>MRIID</t>
  </si>
  <si>
    <t>LHMRIID</t>
  </si>
  <si>
    <t>MRIStrength_T</t>
  </si>
  <si>
    <t>LM3MSTRH</t>
  </si>
  <si>
    <t>OM3MFS</t>
  </si>
  <si>
    <t>MRIAdequateQuality</t>
  </si>
  <si>
    <t>LM3AQUAL</t>
  </si>
  <si>
    <t>OM3ADQL</t>
  </si>
  <si>
    <t>MRIT1Axial</t>
  </si>
  <si>
    <t>LM3T1A</t>
  </si>
  <si>
    <t>OM3T1_1</t>
  </si>
  <si>
    <t>MRIT1Coronal</t>
  </si>
  <si>
    <t>LM3T1C</t>
  </si>
  <si>
    <t>OM3T1_2</t>
  </si>
  <si>
    <t>MRIT1Sagittal</t>
  </si>
  <si>
    <t>LM3T1S</t>
  </si>
  <si>
    <t>OM3T1_3</t>
  </si>
  <si>
    <t>MRIT1</t>
  </si>
  <si>
    <t>OM3T1_</t>
  </si>
  <si>
    <t>MRIT2Axial</t>
  </si>
  <si>
    <t>LM3T2A</t>
  </si>
  <si>
    <t>OM3T2_1</t>
  </si>
  <si>
    <t>MRIT2Coronal</t>
  </si>
  <si>
    <t>LM3T2C</t>
  </si>
  <si>
    <t>OM3T2_2</t>
  </si>
  <si>
    <t>MRIT2Sagittal</t>
  </si>
  <si>
    <t>LM3T2S</t>
  </si>
  <si>
    <t>OM3T2_3</t>
  </si>
  <si>
    <t>MRIT2</t>
  </si>
  <si>
    <t>OM3T2_</t>
  </si>
  <si>
    <t>MRIT2FLAIRAxial</t>
  </si>
  <si>
    <t>LM3T2FLRA</t>
  </si>
  <si>
    <t>OM3T2FL_1</t>
  </si>
  <si>
    <t>MRIT2FLAIRCoronal</t>
  </si>
  <si>
    <t>LM3T2FLRC</t>
  </si>
  <si>
    <t>OM3T2FL_2</t>
  </si>
  <si>
    <t>MRIT2FLAIRSagittal</t>
  </si>
  <si>
    <t>LM3T2FLRS</t>
  </si>
  <si>
    <t>OM3T2FL_3</t>
  </si>
  <si>
    <t>MRIT2FLAIR</t>
  </si>
  <si>
    <t>OM3T2FL_</t>
  </si>
  <si>
    <t>MRIGRESWIAxial</t>
  </si>
  <si>
    <t>LM3GREA</t>
  </si>
  <si>
    <t>OM3GRESW_1</t>
  </si>
  <si>
    <t>MRIGRESWICoronal</t>
  </si>
  <si>
    <t>LM3GREC</t>
  </si>
  <si>
    <t>OM3GRESW_2</t>
  </si>
  <si>
    <t>MRIGRESWISagittal</t>
  </si>
  <si>
    <t>LM3GRES</t>
  </si>
  <si>
    <t>OM3GRESW_3</t>
  </si>
  <si>
    <t>MRIGRESWI</t>
  </si>
  <si>
    <t>OM3GRESW_</t>
  </si>
  <si>
    <t>MRISPGRAxial</t>
  </si>
  <si>
    <t>LM3SPGRA</t>
  </si>
  <si>
    <t>OM3SPGR_1</t>
  </si>
  <si>
    <t>MRISPGRCoronal</t>
  </si>
  <si>
    <t>LM3SPGRC</t>
  </si>
  <si>
    <t>OM3SPGR_2</t>
  </si>
  <si>
    <t>MRISPGRSagittal</t>
  </si>
  <si>
    <t>LM3SPGRS</t>
  </si>
  <si>
    <t>OM3SPGR_3</t>
  </si>
  <si>
    <t>MRISPGR</t>
  </si>
  <si>
    <t>OM3SPGR_</t>
  </si>
  <si>
    <t>MRIDWI</t>
  </si>
  <si>
    <t>LM3DWI</t>
  </si>
  <si>
    <t>OM3DWI</t>
  </si>
  <si>
    <t>MRIADC</t>
  </si>
  <si>
    <t>LM3ADC</t>
  </si>
  <si>
    <t>OM3ADC</t>
  </si>
  <si>
    <t>MRIMRS</t>
  </si>
  <si>
    <t>OM3MRS</t>
  </si>
  <si>
    <t>MRIOther</t>
  </si>
  <si>
    <t>LM3OTH</t>
  </si>
  <si>
    <t>OM3OTHR</t>
  </si>
  <si>
    <t>MRIOtherText</t>
  </si>
  <si>
    <t>LM3OTHS</t>
  </si>
  <si>
    <t>OM3OTHS</t>
  </si>
  <si>
    <t>MRIOverallDiagnosis</t>
  </si>
  <si>
    <t>LM3OVERD</t>
  </si>
  <si>
    <t>OM3OVERD</t>
  </si>
  <si>
    <t>MRIOverallDiagnosisText</t>
  </si>
  <si>
    <t>LM3OVERDC</t>
  </si>
  <si>
    <t>MRIAbnormal</t>
  </si>
  <si>
    <t>LM3SABNM</t>
  </si>
  <si>
    <t>OM3SIGABN</t>
  </si>
  <si>
    <t>MRICerebralAtrophy</t>
  </si>
  <si>
    <t>LM3ATROP</t>
  </si>
  <si>
    <t>OM3CERAT</t>
  </si>
  <si>
    <t>MRICerebralAtrophyGlobalLocal</t>
  </si>
  <si>
    <t>OM3CERATGL</t>
  </si>
  <si>
    <t>MRICerebralAtrophyRegion</t>
  </si>
  <si>
    <t>LM3ATROPR</t>
  </si>
  <si>
    <t>OM3CERRG</t>
  </si>
  <si>
    <t>MRICerebralAtrophyQualAssessCC</t>
  </si>
  <si>
    <t>LM3QASSCC</t>
  </si>
  <si>
    <t>OM3QACCT</t>
  </si>
  <si>
    <t>MRISeverity</t>
  </si>
  <si>
    <t>MRICerebralAtrophyQualAssessVDLeft</t>
  </si>
  <si>
    <t>LM3QASSVDL</t>
  </si>
  <si>
    <t>OM3QAVDL</t>
  </si>
  <si>
    <t>MRICerebralAtrophyQualAssessVDRight</t>
  </si>
  <si>
    <t>LM3QASSVDR</t>
  </si>
  <si>
    <t>OM3QAVDR</t>
  </si>
  <si>
    <t>MRIInfarction</t>
  </si>
  <si>
    <t>LM3INFAR</t>
  </si>
  <si>
    <t>OM3INFAR</t>
  </si>
  <si>
    <t>MRIInfarctionArterialTerritoryLeft</t>
  </si>
  <si>
    <t>LM3INFARL</t>
  </si>
  <si>
    <t>OM3INFCAT_1</t>
  </si>
  <si>
    <t>MRIInfarctionArterialTerritoryRight</t>
  </si>
  <si>
    <t>LM3INFARR</t>
  </si>
  <si>
    <t>OM3INFCAT_2</t>
  </si>
  <si>
    <t>MRIInfarctionWatershedLeft</t>
  </si>
  <si>
    <t>LM3WSHEDL</t>
  </si>
  <si>
    <t>MRIInfarctionWatershedRight</t>
  </si>
  <si>
    <t>LM3WSHEDR</t>
  </si>
  <si>
    <t>MRIMidlineShift</t>
  </si>
  <si>
    <t>LM3MSHIFT</t>
  </si>
  <si>
    <t>OM3MIDSH</t>
  </si>
  <si>
    <t>MRIBGT</t>
  </si>
  <si>
    <t>LM3BGTCL</t>
  </si>
  <si>
    <t>OM3BGT</t>
  </si>
  <si>
    <t>MRIPLIC</t>
  </si>
  <si>
    <t>LM3PLICCL</t>
  </si>
  <si>
    <t>OM3PLIC</t>
  </si>
  <si>
    <t>MRIALICPLICSeverity</t>
  </si>
  <si>
    <t>MRIALIC</t>
  </si>
  <si>
    <t>LM3ALICCL</t>
  </si>
  <si>
    <t>MRIWatershed</t>
  </si>
  <si>
    <t>LM3WSHEDA</t>
  </si>
  <si>
    <t>OM3WATER</t>
  </si>
  <si>
    <t>MRIWhiteMatterInjury</t>
  </si>
  <si>
    <t>LM3WMINJ</t>
  </si>
  <si>
    <t>OM3WMI</t>
  </si>
  <si>
    <t>MRIInjurySeverity</t>
  </si>
  <si>
    <t>MRIFocalCorticalInjury</t>
  </si>
  <si>
    <t>LM3FCINJ</t>
  </si>
  <si>
    <t>MRINRNPatternOfInjuryExtent</t>
  </si>
  <si>
    <t>OM3EXTENT</t>
  </si>
  <si>
    <t>MRINRNPatternOfInjuryLateral</t>
  </si>
  <si>
    <t>OM3LATR</t>
  </si>
  <si>
    <t>MRIComment</t>
  </si>
  <si>
    <t>LM3COMMS</t>
  </si>
  <si>
    <t>OM3COMM</t>
  </si>
  <si>
    <t>MRINRNPatternOfInjury</t>
  </si>
  <si>
    <t>MRI_PATTERN</t>
  </si>
  <si>
    <t>use_pi</t>
  </si>
  <si>
    <t>MRIAvailable</t>
  </si>
  <si>
    <t>LM1AVAI</t>
  </si>
  <si>
    <t>OM1MRIA</t>
  </si>
  <si>
    <t>MRIObtain</t>
  </si>
  <si>
    <t>LM1OBTA</t>
  </si>
  <si>
    <t>MRIObtainWindow</t>
  </si>
  <si>
    <t>OM1MRIW</t>
  </si>
  <si>
    <t>MRIObtainComment</t>
  </si>
  <si>
    <t>OM1COMM</t>
  </si>
  <si>
    <t>MRINoObtainReason</t>
  </si>
  <si>
    <t>LM1REAS</t>
  </si>
  <si>
    <t>OM1MRIR</t>
  </si>
  <si>
    <t>MRINoObtainReasonText</t>
  </si>
  <si>
    <t>OM1MRIS</t>
  </si>
  <si>
    <t>MRIRead</t>
  </si>
  <si>
    <t>LM2READ</t>
  </si>
  <si>
    <t>MRIScore</t>
  </si>
  <si>
    <t>LM2CLASS</t>
  </si>
  <si>
    <t>MRI2LevelPatternOfInjury</t>
  </si>
  <si>
    <t>MRI_PCLASS</t>
  </si>
  <si>
    <t>MRI_2cat</t>
  </si>
  <si>
    <t>MRIAge_day</t>
  </si>
  <si>
    <t>MRI_AGED</t>
  </si>
  <si>
    <t>use_MRIage</t>
  </si>
  <si>
    <t>MRIOverallDiagnosisMerge</t>
  </si>
  <si>
    <t>use_od</t>
  </si>
  <si>
    <t>MRINotDone</t>
  </si>
  <si>
    <t>MRI_NOTDONE</t>
  </si>
  <si>
    <t>MRIUnread</t>
  </si>
  <si>
    <t>MRI_UNREAD</t>
  </si>
  <si>
    <t>MRIAnalysis</t>
  </si>
  <si>
    <t>mri_subgrp</t>
  </si>
  <si>
    <t>MRIAbnormalResult</t>
  </si>
  <si>
    <t>mri_abn</t>
  </si>
  <si>
    <t>MRINRNPatternOfInjuryWSvsBGTPLIC</t>
  </si>
  <si>
    <t>new_patt</t>
  </si>
  <si>
    <t>MRINRNPatternOfInjuryWSvsBGT</t>
  </si>
  <si>
    <t>MRICerebralLesion</t>
  </si>
  <si>
    <t>all_cere</t>
  </si>
  <si>
    <t>MRICerebellarLesion</t>
  </si>
  <si>
    <t>bel_max</t>
  </si>
  <si>
    <t>MRILesion</t>
  </si>
  <si>
    <t>MRIBasalGangliaLesion</t>
  </si>
  <si>
    <t>bg_max</t>
  </si>
  <si>
    <t>MRIBrainstemLesion</t>
  </si>
  <si>
    <t>bs_max</t>
  </si>
  <si>
    <t>MRICorpusCallosumLesion</t>
  </si>
  <si>
    <t>cc_max</t>
  </si>
  <si>
    <t>MRICerebralLesionLobe</t>
  </si>
  <si>
    <t>cereb_any</t>
  </si>
  <si>
    <t>MRICoronaRadiataLesion</t>
  </si>
  <si>
    <t>cr_max</t>
  </si>
  <si>
    <t>MRIEdema</t>
  </si>
  <si>
    <t>edema</t>
  </si>
  <si>
    <t>MRIExtraAxialLesion</t>
  </si>
  <si>
    <t>ex_max</t>
  </si>
  <si>
    <t>MRIExtent</t>
  </si>
  <si>
    <t>extent_num</t>
  </si>
  <si>
    <t>MRIAbnormalExtent</t>
  </si>
  <si>
    <t>MRIFrontalParietalLesion</t>
  </si>
  <si>
    <t>fp_max</t>
  </si>
  <si>
    <t>MRIFrontalLesion</t>
  </si>
  <si>
    <t>frontal</t>
  </si>
  <si>
    <t>MRILateralHemisphericDevastation</t>
  </si>
  <si>
    <t>hemi_lat</t>
  </si>
  <si>
    <t>MRIAbnormalSide</t>
  </si>
  <si>
    <t>MRIHippocampusLesion</t>
  </si>
  <si>
    <t>hip_max</t>
  </si>
  <si>
    <t>MRIHypothalamusLesion</t>
  </si>
  <si>
    <t>hy_max</t>
  </si>
  <si>
    <t>MRIInsularLesion</t>
  </si>
  <si>
    <t>ins_max</t>
  </si>
  <si>
    <t>MRILateralityMerge</t>
  </si>
  <si>
    <t>lateral_num</t>
  </si>
  <si>
    <t>MRIBGTMerge</t>
  </si>
  <si>
    <t>new_bgt</t>
  </si>
  <si>
    <t>MRIPLICMerge</t>
  </si>
  <si>
    <t>new_plic</t>
  </si>
  <si>
    <t>MRIWatershedMerge</t>
  </si>
  <si>
    <t>new_water</t>
  </si>
  <si>
    <t>MRIWhiteMatterInjuryMerge</t>
  </si>
  <si>
    <t>new_wmi</t>
  </si>
  <si>
    <t>MRIDate</t>
  </si>
  <si>
    <t>MRI_DATE</t>
  </si>
  <si>
    <t>MRIOccipitalLesion</t>
  </si>
  <si>
    <t>occip</t>
  </si>
  <si>
    <t>MRITime</t>
  </si>
  <si>
    <t>MRI_TIME</t>
  </si>
  <si>
    <t>MRIOpticChiasmLesion</t>
  </si>
  <si>
    <t>op_max</t>
  </si>
  <si>
    <t>MRIOtherLesion</t>
  </si>
  <si>
    <t>oth_max</t>
  </si>
  <si>
    <t>MRIOtherCerebralLesion</t>
  </si>
  <si>
    <t>other_cere</t>
  </si>
  <si>
    <t>MRIParasagittalLesion</t>
  </si>
  <si>
    <t>para_max</t>
  </si>
  <si>
    <t>MRIParietalLesion</t>
  </si>
  <si>
    <t>pariet</t>
  </si>
  <si>
    <t>MRIPreirolandicLesion</t>
  </si>
  <si>
    <t>per_max</t>
  </si>
  <si>
    <t>MRIPerisylvianLesion</t>
  </si>
  <si>
    <t>peri_max</t>
  </si>
  <si>
    <t>MRIPituitaryLesion</t>
  </si>
  <si>
    <t>pit_max</t>
  </si>
  <si>
    <t>MRIParietalOccipitalLesion</t>
  </si>
  <si>
    <t>po_max</t>
  </si>
  <si>
    <t>MRIParietalTemporalLesion</t>
  </si>
  <si>
    <t>pt_max</t>
  </si>
  <si>
    <t>MRIScalpLesion</t>
  </si>
  <si>
    <t>s_max</t>
  </si>
  <si>
    <t>MRIThalamusLesion</t>
  </si>
  <si>
    <t>t_max</t>
  </si>
  <si>
    <t>MRITemporalLesion</t>
  </si>
  <si>
    <t>tempo</t>
  </si>
  <si>
    <t>MRITemporalOccipitalLesion</t>
  </si>
  <si>
    <t>to_max</t>
  </si>
  <si>
    <t>MRICerebralAtrophyMerge</t>
  </si>
  <si>
    <t>use_atrophy</t>
  </si>
  <si>
    <t>MRICerebralAtrophyQualAssessCCMerge</t>
  </si>
  <si>
    <t>use_ccthin</t>
  </si>
  <si>
    <t>MRICerebralAtrophyGlobalLocalMerge</t>
  </si>
  <si>
    <t>use_global</t>
  </si>
  <si>
    <t>MRIVascularTerritoryInfarctionMerge</t>
  </si>
  <si>
    <t>use_infarc</t>
  </si>
  <si>
    <t>MRIVascularTerritoryInfarctionLeftMerge</t>
  </si>
  <si>
    <t>MRI_INFARL</t>
  </si>
  <si>
    <t>MRIVascularTerritoryInfarctionRightMerge</t>
  </si>
  <si>
    <t>MRI_INFARR</t>
  </si>
  <si>
    <t>MRIHemisphericDevastation</t>
  </si>
  <si>
    <t>use_hemi</t>
  </si>
  <si>
    <t>MRIVentricularDilatation</t>
  </si>
  <si>
    <t>use_vd</t>
  </si>
  <si>
    <t>MRIVascularLesion</t>
  </si>
  <si>
    <t>vas_max</t>
  </si>
  <si>
    <t>MRIIntraventricularLesion</t>
  </si>
  <si>
    <t>vent_max</t>
  </si>
  <si>
    <t>MRINRNPatternOfInjuryAvg</t>
  </si>
  <si>
    <t>MRINRNPatternOfInjuryMax</t>
  </si>
  <si>
    <t>status</t>
  </si>
  <si>
    <t>LH12STAT</t>
  </si>
  <si>
    <t>OC13STAT</t>
  </si>
  <si>
    <t>Status</t>
  </si>
  <si>
    <t>NICU Discharge</t>
  </si>
  <si>
    <t>statusDate</t>
  </si>
  <si>
    <t>LH12DCDT
LH12TRDT
LH12DTDT</t>
  </si>
  <si>
    <t>OC13SDAT</t>
  </si>
  <si>
    <t>dischargeDate</t>
  </si>
  <si>
    <t>LH12DCDT</t>
  </si>
  <si>
    <t>OC13DDAT</t>
  </si>
  <si>
    <t>dischargeWeight_g</t>
  </si>
  <si>
    <t>LH12DCWT</t>
  </si>
  <si>
    <t>OC13WGHT</t>
  </si>
  <si>
    <t>dischargeLength_cm</t>
  </si>
  <si>
    <t>LH12DCLN</t>
  </si>
  <si>
    <t>OC13LGTH</t>
  </si>
  <si>
    <t>dischargeHeadCircumference_cm</t>
  </si>
  <si>
    <t>LH12DCHC</t>
  </si>
  <si>
    <t>OC13CIRC</t>
  </si>
  <si>
    <t>transferReason</t>
  </si>
  <si>
    <t>LH12TRRS</t>
  </si>
  <si>
    <t>OC13RTRS</t>
  </si>
  <si>
    <t>transferDate</t>
  </si>
  <si>
    <t>LH12TRDT</t>
  </si>
  <si>
    <t>transferWeight_g</t>
  </si>
  <si>
    <t>LH12TRWT</t>
  </si>
  <si>
    <t>transferLength_cm</t>
  </si>
  <si>
    <t>LH12TRLN</t>
  </si>
  <si>
    <t>transferHeadCircumference_cm</t>
  </si>
  <si>
    <t>LH12TRHC</t>
  </si>
  <si>
    <t>transferOutcome</t>
  </si>
  <si>
    <t>LH12TROU</t>
  </si>
  <si>
    <t>OC13OUTC</t>
  </si>
  <si>
    <t>deathDate</t>
  </si>
  <si>
    <t>LH12DTDT</t>
  </si>
  <si>
    <t>OC13DEDA</t>
  </si>
  <si>
    <t>deathTime</t>
  </si>
  <si>
    <t>LH12DTTM</t>
  </si>
  <si>
    <t>OC13DETM</t>
  </si>
  <si>
    <t>deathAge_day</t>
  </si>
  <si>
    <t>age_death</t>
  </si>
  <si>
    <t>deathAutopsy</t>
  </si>
  <si>
    <t>LH12DTAU</t>
  </si>
  <si>
    <t>OC13DEAP</t>
  </si>
  <si>
    <t>deathCause</t>
  </si>
  <si>
    <t>LH12DTCA</t>
  </si>
  <si>
    <t>OC13COD</t>
  </si>
  <si>
    <t>deathCauseText</t>
  </si>
  <si>
    <t>LH12DTSP</t>
  </si>
  <si>
    <t>OC13CODS</t>
  </si>
  <si>
    <t>deathSrc</t>
  </si>
  <si>
    <t>LH12DTSR</t>
  </si>
  <si>
    <t>OC13SOI</t>
  </si>
  <si>
    <t>lengthOfStay_day</t>
  </si>
  <si>
    <t>dischargeCardiomegaly</t>
  </si>
  <si>
    <t>LH13CVMG</t>
  </si>
  <si>
    <t>OC13CARD</t>
  </si>
  <si>
    <t>dischargeCardiacFailure</t>
  </si>
  <si>
    <t>LH13CVCF</t>
  </si>
  <si>
    <t>OC13CFAI</t>
  </si>
  <si>
    <t>dischargeCardiacDysfunctionByEcho</t>
  </si>
  <si>
    <t>LH13CVCD</t>
  </si>
  <si>
    <t>OC13CDYS</t>
  </si>
  <si>
    <t>dischargeCardiacIschemiaByEKG</t>
  </si>
  <si>
    <t>LH13CVCI</t>
  </si>
  <si>
    <t>OC13CISC</t>
  </si>
  <si>
    <t>dischargeHypotension</t>
  </si>
  <si>
    <t>LH13CVHY</t>
  </si>
  <si>
    <t>OC13HYPO</t>
  </si>
  <si>
    <t>dischargeArrhythmia</t>
  </si>
  <si>
    <t>LH13CVAR</t>
  </si>
  <si>
    <t>OC13ARRH</t>
  </si>
  <si>
    <t>dischargeInotropicAgent</t>
  </si>
  <si>
    <t>any_inot</t>
  </si>
  <si>
    <t>dischargeMeconiumAspirationSyndrome</t>
  </si>
  <si>
    <t>LH13PLMC</t>
  </si>
  <si>
    <t>OC13MASY</t>
  </si>
  <si>
    <t>dischargePPHN</t>
  </si>
  <si>
    <t>LH13PLPP</t>
  </si>
  <si>
    <t>OC13PPHN</t>
  </si>
  <si>
    <t>dischargePulmonaryHemorrhage</t>
  </si>
  <si>
    <t>LH13PLPH</t>
  </si>
  <si>
    <t>OC13PHEM</t>
  </si>
  <si>
    <t>dischargePenumonia</t>
  </si>
  <si>
    <t>LH13PLPN</t>
  </si>
  <si>
    <t>OC13PNEU</t>
  </si>
  <si>
    <t>dischargeChronicLungDisease</t>
  </si>
  <si>
    <t>LH13PLCL</t>
  </si>
  <si>
    <t>OC13CHLD</t>
  </si>
  <si>
    <t>dischargeECMO</t>
  </si>
  <si>
    <t>LH13PECM</t>
  </si>
  <si>
    <t>OC13ECMO</t>
  </si>
  <si>
    <t>dischargeINO</t>
  </si>
  <si>
    <t>LH13PLNO</t>
  </si>
  <si>
    <t>OC13INO</t>
  </si>
  <si>
    <t>dischargeVentilator_day</t>
  </si>
  <si>
    <t>LH13PLVN</t>
  </si>
  <si>
    <t>OC13DVEN</t>
  </si>
  <si>
    <t>dischargeOxygen_day</t>
  </si>
  <si>
    <t>LH13PL02</t>
  </si>
  <si>
    <t>OC13DOXY</t>
  </si>
  <si>
    <t>dischargeCPAP_day</t>
  </si>
  <si>
    <t>LH13PLCP</t>
  </si>
  <si>
    <t>OC13DCPA</t>
  </si>
  <si>
    <t>dischargePulmonaryStartDate1</t>
  </si>
  <si>
    <t>L13PIBD1</t>
  </si>
  <si>
    <t>dischargePulmonaryStartTime1</t>
  </si>
  <si>
    <t>L13PIBT1</t>
  </si>
  <si>
    <t>dischargePulmonaryEndDate1</t>
  </si>
  <si>
    <t>L13PIED1</t>
  </si>
  <si>
    <t>dischargePulmonaryEndTime1</t>
  </si>
  <si>
    <t>L13PIET1</t>
  </si>
  <si>
    <t>dischargeDIC</t>
  </si>
  <si>
    <t>LH13DIC</t>
  </si>
  <si>
    <t>OC13HDIC</t>
  </si>
  <si>
    <t>dischargeHypoglycemia</t>
  </si>
  <si>
    <t>LH13HYGL</t>
  </si>
  <si>
    <t>OC13HYGL</t>
  </si>
  <si>
    <t>Metabolic</t>
  </si>
  <si>
    <t>dischargeHypocalcemia</t>
  </si>
  <si>
    <t>LH13HYCA</t>
  </si>
  <si>
    <t>OC13HYCA</t>
  </si>
  <si>
    <t>dischargeHypomagnesemia</t>
  </si>
  <si>
    <t>LH13HYMG</t>
  </si>
  <si>
    <t>OC13HYPM</t>
  </si>
  <si>
    <t>dischargeOliguria</t>
  </si>
  <si>
    <t>LH13RNOC</t>
  </si>
  <si>
    <t>OC13ROLI</t>
  </si>
  <si>
    <t>Renal</t>
  </si>
  <si>
    <t>dischargeAnuria</t>
  </si>
  <si>
    <t>LH13RNAN</t>
  </si>
  <si>
    <t>OC13RANU</t>
  </si>
  <si>
    <t>dischargeDialysis</t>
  </si>
  <si>
    <t>LH13RNDI</t>
  </si>
  <si>
    <t>OC13RDIA</t>
  </si>
  <si>
    <t>dischargeEnteralFeedStart_day</t>
  </si>
  <si>
    <t>OC13DEFS</t>
  </si>
  <si>
    <t>Gastrointestinal</t>
  </si>
  <si>
    <t>dischargeTubeFeedingDuration_day</t>
  </si>
  <si>
    <t>LH13GSDR</t>
  </si>
  <si>
    <t>OC13DTFE</t>
  </si>
  <si>
    <t>dischargeFullNippleFeed</t>
  </si>
  <si>
    <t>OC13FLNP</t>
  </si>
  <si>
    <t>dischargeFullNippleFeed_day</t>
  </si>
  <si>
    <t>LH13GSAG</t>
  </si>
  <si>
    <t>OC13FNDL</t>
  </si>
  <si>
    <t>dischargeNEC</t>
  </si>
  <si>
    <t>LH13GSNE</t>
  </si>
  <si>
    <t>OC13NEC</t>
  </si>
  <si>
    <t>dischargeHepaticDysfunction</t>
  </si>
  <si>
    <t>LH13GSHD</t>
  </si>
  <si>
    <t>OC13HPDY</t>
  </si>
  <si>
    <t>dischargeAlteredSkinItegrityPostIntervention</t>
  </si>
  <si>
    <t>OC13ALIN</t>
  </si>
  <si>
    <t>Skin</t>
  </si>
  <si>
    <t>dischargeErythema</t>
  </si>
  <si>
    <t>OC13ERYT</t>
  </si>
  <si>
    <t>dischargeErythemaOnsetDate</t>
  </si>
  <si>
    <t>OC13EODA</t>
  </si>
  <si>
    <t>dischargeErythemaResolveDate</t>
  </si>
  <si>
    <t>OC13ERDA</t>
  </si>
  <si>
    <t>dischargeSclerema</t>
  </si>
  <si>
    <t>OC13SCLE</t>
  </si>
  <si>
    <t>dischargeScleremaOnsetDate</t>
  </si>
  <si>
    <t>OC13SCOD</t>
  </si>
  <si>
    <t>dischargeScleremaResolveDate</t>
  </si>
  <si>
    <t>OC13SCRD</t>
  </si>
  <si>
    <t>dischargeCyanosis</t>
  </si>
  <si>
    <t>OC13CYAN</t>
  </si>
  <si>
    <t>dischargeCyanosisOnsetDate</t>
  </si>
  <si>
    <t>OC13CODA</t>
  </si>
  <si>
    <t>dischargeCyanosisResolveDate</t>
  </si>
  <si>
    <t>OC13CRDA</t>
  </si>
  <si>
    <t>dischargeSubFatNecrosis</t>
  </si>
  <si>
    <t>OC13SUFN</t>
  </si>
  <si>
    <t>dischargeSubFatNecrosisOnsetDate</t>
  </si>
  <si>
    <t>OC13SUOD</t>
  </si>
  <si>
    <t>dischargeSubFatNecrosisResolveDate</t>
  </si>
  <si>
    <t>OC13SURD</t>
  </si>
  <si>
    <t>dischargeHearingTest</t>
  </si>
  <si>
    <t>LH13HTES</t>
  </si>
  <si>
    <t>OC13HEAT</t>
  </si>
  <si>
    <t>Auditory</t>
  </si>
  <si>
    <t>dischargeHearingTestNormal</t>
  </si>
  <si>
    <t>LH13HTEN</t>
  </si>
  <si>
    <t>OC13HTRS</t>
  </si>
  <si>
    <t>dischargeMajorSurgery</t>
  </si>
  <si>
    <t>LH13MJSG</t>
  </si>
  <si>
    <t>OC13MJSU</t>
  </si>
  <si>
    <t>Surgery</t>
  </si>
  <si>
    <t>dischargeSurgeryCode1</t>
  </si>
  <si>
    <t>LH13MJSA</t>
  </si>
  <si>
    <t>OC13SUC1</t>
  </si>
  <si>
    <t>surgery</t>
  </si>
  <si>
    <t>dischargeSepticemia</t>
  </si>
  <si>
    <t>LH13SEP</t>
  </si>
  <si>
    <t>OC13SEPT</t>
  </si>
  <si>
    <t>dischargeSepticemiaOrganismCode1</t>
  </si>
  <si>
    <t>LH13SEPA</t>
  </si>
  <si>
    <t>OC13SOR1</t>
  </si>
  <si>
    <t>dischargeMeningitisEncephalitis</t>
  </si>
  <si>
    <t>LH13MEN</t>
  </si>
  <si>
    <t>OC13ME</t>
  </si>
  <si>
    <t>dischargeMeningitisOrganismCode1</t>
  </si>
  <si>
    <t>LH13MENA</t>
  </si>
  <si>
    <t>OC13MEO1</t>
  </si>
  <si>
    <t>dischargeNeuroExamDate</t>
  </si>
  <si>
    <t>LH11DT_2</t>
  </si>
  <si>
    <t>dischargeNeuroExamTime</t>
  </si>
  <si>
    <t>LH11TM_2</t>
  </si>
  <si>
    <t>dischargeNeuroExamLevelConsciousness</t>
  </si>
  <si>
    <t>LH11LC_2</t>
  </si>
  <si>
    <t>dischargeNeuroExamSpontaneousActivity</t>
  </si>
  <si>
    <t>LH11SP_2</t>
  </si>
  <si>
    <t>dischargeNeuroExamPosture</t>
  </si>
  <si>
    <t>LH11PO_2</t>
  </si>
  <si>
    <t>dischargeNeuroExamTone</t>
  </si>
  <si>
    <t>LH11TO_2</t>
  </si>
  <si>
    <t>dischargeNeuroExamSuck</t>
  </si>
  <si>
    <t>LH11SC_2</t>
  </si>
  <si>
    <t>dischargeNeuroExamMoro</t>
  </si>
  <si>
    <t>LH11MR_2</t>
  </si>
  <si>
    <t>dischargeNeuroExamPupils</t>
  </si>
  <si>
    <t>LH11PU_2</t>
  </si>
  <si>
    <t>dischargeNeuroExamHeartRate</t>
  </si>
  <si>
    <t>LH11HR_2</t>
  </si>
  <si>
    <t>dischargeNeuroExamRespiration</t>
  </si>
  <si>
    <t>LH11RS_2</t>
  </si>
  <si>
    <t>dischargeNeuroExamSeizure</t>
  </si>
  <si>
    <t>LH11SZ_2</t>
  </si>
  <si>
    <t>dischargeNeuroExamClonusSustained</t>
  </si>
  <si>
    <t>LH11CL_2</t>
  </si>
  <si>
    <t>dischargeNeuroExamFistedHand</t>
  </si>
  <si>
    <t>LH11FS_2</t>
  </si>
  <si>
    <t>dischargeNeuroExamAbnormalMovement</t>
  </si>
  <si>
    <t>LH11MO_2</t>
  </si>
  <si>
    <t>dischargeNeuroExamGagReflexAbsent</t>
  </si>
  <si>
    <t>LH11GA_2</t>
  </si>
  <si>
    <t>dischargeNeuroExamSedate</t>
  </si>
  <si>
    <t>dischargeNeuroExamHypertonia</t>
  </si>
  <si>
    <t>LH11HY_2</t>
  </si>
  <si>
    <t>dischargeNeuroExamAsymTonicNeckReflex</t>
  </si>
  <si>
    <t>dischargeNeuroExamReflexScore</t>
  </si>
  <si>
    <t>dischargeNeuroExamANSScore</t>
  </si>
  <si>
    <t>dischargeTotalModifiedSarnatScore</t>
  </si>
  <si>
    <t>dischargeSeizure</t>
  </si>
  <si>
    <t>LH13NESZ</t>
  </si>
  <si>
    <t>OC13SEIZ</t>
  </si>
  <si>
    <t>Seizure</t>
  </si>
  <si>
    <t>dischargeSeizurePreIntervention</t>
  </si>
  <si>
    <t>LH13NESP</t>
  </si>
  <si>
    <t>OC13SPRI</t>
  </si>
  <si>
    <t>dischargeSeizureAfterBaseline</t>
  </si>
  <si>
    <t>OC13SAFT</t>
  </si>
  <si>
    <t>dischargeSeizureMaintenance</t>
  </si>
  <si>
    <t>LH13NESD</t>
  </si>
  <si>
    <t>OC13SDMP</t>
  </si>
  <si>
    <t>dischargeSeizureRewarming</t>
  </si>
  <si>
    <t>LH13NESR</t>
  </si>
  <si>
    <t>OC13SDRW</t>
  </si>
  <si>
    <t>dischargeSeizurePostIntervention</t>
  </si>
  <si>
    <t>LH13NESA</t>
  </si>
  <si>
    <t>OC13SAAB</t>
  </si>
  <si>
    <t>dischargeEEG</t>
  </si>
  <si>
    <t>LH13EEG</t>
  </si>
  <si>
    <t>OC13EEG</t>
  </si>
  <si>
    <t>dischargeEEGFindingConsistentWithSeizure</t>
  </si>
  <si>
    <t>LH13EFIN</t>
  </si>
  <si>
    <t>OC13FCON</t>
  </si>
  <si>
    <t>dischargeEEGFindingConsistentWithSeizureDate</t>
  </si>
  <si>
    <t>LH13EDAT</t>
  </si>
  <si>
    <t>OC13CDAT</t>
  </si>
  <si>
    <t>dischargeEEGFindingConsistentWithSeizureTime</t>
  </si>
  <si>
    <t>LH13ETIM</t>
  </si>
  <si>
    <t>OC13CTIM</t>
  </si>
  <si>
    <t>dischargeEEGAbnormalBackgroundActivity</t>
  </si>
  <si>
    <t>LH13ABNM</t>
  </si>
  <si>
    <t>OC13ABBK</t>
  </si>
  <si>
    <t>dischargeEEGAbnormalBackgroundActivityDate</t>
  </si>
  <si>
    <t>LH13ADAT</t>
  </si>
  <si>
    <t>OC13ADAT</t>
  </si>
  <si>
    <t>dischargeEEGAbnormalBackgroundActivityTime</t>
  </si>
  <si>
    <t>LH13ATIM</t>
  </si>
  <si>
    <t>OC13ATIM</t>
  </si>
  <si>
    <t>dischargeAnticonvulsantsGreater72H</t>
  </si>
  <si>
    <t>LH13ACON</t>
  </si>
  <si>
    <t>OC13ANCV</t>
  </si>
  <si>
    <t>dischargeAnticonvulsants</t>
  </si>
  <si>
    <t>any_antic</t>
  </si>
  <si>
    <t>dischargeSyndromeMalformation</t>
  </si>
  <si>
    <t>LH13BDEF</t>
  </si>
  <si>
    <t>OC13SMDI</t>
  </si>
  <si>
    <t>Birth Defect</t>
  </si>
  <si>
    <t>dischargeBirthDefectCode1</t>
  </si>
  <si>
    <t>LH13BDCA</t>
  </si>
  <si>
    <t>OC13BD1</t>
  </si>
  <si>
    <t>birthDefect</t>
  </si>
  <si>
    <t>dischargeHomeTherapy</t>
  </si>
  <si>
    <t>OC13HOTH</t>
  </si>
  <si>
    <t>Home Therapy</t>
  </si>
  <si>
    <t>dischargeHomeTherapyVentilator</t>
  </si>
  <si>
    <t>LH13HTVN</t>
  </si>
  <si>
    <t>OC13HTVE</t>
  </si>
  <si>
    <t>dischargeHomeTherapyOxygen</t>
  </si>
  <si>
    <t>LH13HTO2</t>
  </si>
  <si>
    <t>OC13HTOX</t>
  </si>
  <si>
    <t>dischargeHomeTherapyGavageTubeFeed</t>
  </si>
  <si>
    <t>LH13HTGV</t>
  </si>
  <si>
    <t>OC13HTTF</t>
  </si>
  <si>
    <t>dischargeHomeTherapyGastrostomyTubeFeed</t>
  </si>
  <si>
    <t>LH13HTGS</t>
  </si>
  <si>
    <t>OC13HTGT</t>
  </si>
  <si>
    <t>dischargeHomeTherapyTemperatureBlanket</t>
  </si>
  <si>
    <t>LH13HTTB</t>
  </si>
  <si>
    <t>OC13MTTB</t>
  </si>
  <si>
    <t>dischargeHomeTherapyAnticonvulsantMedication</t>
  </si>
  <si>
    <t>LH13HTAM</t>
  </si>
  <si>
    <t>OC13HTAM</t>
  </si>
  <si>
    <t>dischargeHomeTherapyOther</t>
  </si>
  <si>
    <t>LH13HTOT</t>
  </si>
  <si>
    <t>OC13HRO</t>
  </si>
  <si>
    <t>dischargeHomeTherapyOtherText</t>
  </si>
  <si>
    <t>LH13HTOS</t>
  </si>
  <si>
    <t>OC13HTOS</t>
  </si>
  <si>
    <t>wdrawSupport</t>
  </si>
  <si>
    <t>LH12SWIT</t>
  </si>
  <si>
    <t>OC13SWD</t>
  </si>
  <si>
    <t>Withdrawal of Support</t>
  </si>
  <si>
    <t>wdrawSupportDate</t>
  </si>
  <si>
    <t>LH12DWIT</t>
  </si>
  <si>
    <t>OC13SWDD</t>
  </si>
  <si>
    <t>wdrawSupportTime</t>
  </si>
  <si>
    <t>LH12TWIT</t>
  </si>
  <si>
    <t>OC13SWDT</t>
  </si>
  <si>
    <t>wdrawSupportDiscussedWithFamily</t>
  </si>
  <si>
    <t>LH12WDIS</t>
  </si>
  <si>
    <t>OC13WSUF</t>
  </si>
  <si>
    <t>wdrawSupportRecommendSolelyByClinicalTeam</t>
  </si>
  <si>
    <t>LH12SWRT</t>
  </si>
  <si>
    <t>OC13WSDE</t>
  </si>
  <si>
    <t>wdrawSupportNeurologicalExam</t>
  </si>
  <si>
    <t>LH12WNEU</t>
  </si>
  <si>
    <t>OC13WSNE</t>
  </si>
  <si>
    <t>wdrawSupportImagingStudy</t>
  </si>
  <si>
    <t>LH12WIMA</t>
  </si>
  <si>
    <t>OC13WSIS</t>
  </si>
  <si>
    <t>wdrawSupportEEGFinding</t>
  </si>
  <si>
    <t>LH12WEEG</t>
  </si>
  <si>
    <t>OC13WSEF</t>
  </si>
  <si>
    <t>wdrawSupportMultisystemOrganFailureOtherThanCNS</t>
  </si>
  <si>
    <t>LH12WMSY</t>
  </si>
  <si>
    <t>OC13WSMS</t>
  </si>
  <si>
    <t>wdrawSupportBrainBloodFlowScan</t>
  </si>
  <si>
    <t>LH12WBBF</t>
  </si>
  <si>
    <t>OC13WSBB</t>
  </si>
  <si>
    <t>wdrawSupportParentWish</t>
  </si>
  <si>
    <t>LH12WPWI</t>
  </si>
  <si>
    <t>OC13WSPW</t>
  </si>
  <si>
    <t>wdrawSupportOther</t>
  </si>
  <si>
    <t>LH12WOT</t>
  </si>
  <si>
    <t>OC13WSO</t>
  </si>
  <si>
    <t>wdrawSupportOtherText</t>
  </si>
  <si>
    <t>LH12WOTS</t>
  </si>
  <si>
    <t>OC13WSOS</t>
  </si>
  <si>
    <t>limitCareDiscussedWithFamily</t>
  </si>
  <si>
    <t>LH12LOCD</t>
  </si>
  <si>
    <t>OC13LOC</t>
  </si>
  <si>
    <t>Limitation of Care</t>
  </si>
  <si>
    <t>limitCareRecommendSolelyByClinicalTeam</t>
  </si>
  <si>
    <t>LH12LCRT</t>
  </si>
  <si>
    <t>OC13DBCT</t>
  </si>
  <si>
    <t>limitCareAgreedByFamilyAndCareTeam</t>
  </si>
  <si>
    <t>LH12LOCA</t>
  </si>
  <si>
    <t>OC13LBFA</t>
  </si>
  <si>
    <t>limitCareNoFurtherMechanicalVentilationAndIntubation</t>
  </si>
  <si>
    <t>LH12LMVI</t>
  </si>
  <si>
    <t>OC13NFMV</t>
  </si>
  <si>
    <t>limitCareNoFurtherVentilationWithBagAndMask</t>
  </si>
  <si>
    <t>LH12LVBM</t>
  </si>
  <si>
    <t>OC13NFBM</t>
  </si>
  <si>
    <t>limitCareNoFurtherMedicationsToSupportBP</t>
  </si>
  <si>
    <t>LH12LMBP</t>
  </si>
  <si>
    <t>OC13NFME</t>
  </si>
  <si>
    <t>limitCareNoFurtherChestCompression</t>
  </si>
  <si>
    <t>LH12LCC</t>
  </si>
  <si>
    <t>OC13NFCC</t>
  </si>
  <si>
    <t>limitCareNoFurtherEmergencyMedication</t>
  </si>
  <si>
    <t>LH12LEM</t>
  </si>
  <si>
    <t>OC13NFEM</t>
  </si>
  <si>
    <t>limitCareDNR</t>
  </si>
  <si>
    <t>LH12DNR</t>
  </si>
  <si>
    <t>OC13DNR</t>
  </si>
  <si>
    <t>limitCareDNRDate</t>
  </si>
  <si>
    <t>LH12DDNR</t>
  </si>
  <si>
    <t>OC13DNRD</t>
  </si>
  <si>
    <t>limitCareDNRTime</t>
  </si>
  <si>
    <t>LH12TDNR</t>
  </si>
  <si>
    <t>OC13DNRT</t>
  </si>
  <si>
    <t>SESVisitDate</t>
  </si>
  <si>
    <t>CFVISDT</t>
  </si>
  <si>
    <t>follow-up</t>
  </si>
  <si>
    <t>SES</t>
  </si>
  <si>
    <t>Follow Up</t>
  </si>
  <si>
    <t>SESBirthDate</t>
  </si>
  <si>
    <t>CFBRTHDT</t>
  </si>
  <si>
    <t>chronologicalAge_mo</t>
  </si>
  <si>
    <t>CFCHRAGE</t>
  </si>
  <si>
    <t>correctedAge_mo</t>
  </si>
  <si>
    <t>CFADJAGE</t>
  </si>
  <si>
    <t>underStateSupervision</t>
  </si>
  <si>
    <t>CFSUPER</t>
  </si>
  <si>
    <t>primaryCaretaker</t>
  </si>
  <si>
    <t>CFCARE</t>
  </si>
  <si>
    <t>relationship</t>
  </si>
  <si>
    <t>otherCaretaker</t>
  </si>
  <si>
    <t>CFOCAR</t>
  </si>
  <si>
    <t>maritalStatusPrimaryCaretaker</t>
  </si>
  <si>
    <t>CFMARITL</t>
  </si>
  <si>
    <t>livingArrangementChild</t>
  </si>
  <si>
    <t>CFLIVING</t>
  </si>
  <si>
    <t>livingArrange</t>
  </si>
  <si>
    <t>numberPeopleInChildHousehold</t>
  </si>
  <si>
    <t>CFPEOPLE</t>
  </si>
  <si>
    <t>otherContributeMoneyToChildHousehold</t>
  </si>
  <si>
    <t>NF3MONEY</t>
  </si>
  <si>
    <t>educationPrimaryCaretaker</t>
  </si>
  <si>
    <t>CFGRPCAR</t>
  </si>
  <si>
    <t>educationOtherCaretaker</t>
  </si>
  <si>
    <t>CFGROCAR</t>
  </si>
  <si>
    <t>workPrimaryCaretaker</t>
  </si>
  <si>
    <t>CFWKPCAR</t>
  </si>
  <si>
    <t>workOtherCaretaker</t>
  </si>
  <si>
    <t>CFWKOCAR</t>
  </si>
  <si>
    <t>inSchoolPrimaryCaretaker</t>
  </si>
  <si>
    <t>CFSCCARE</t>
  </si>
  <si>
    <t>inSchoolOtherCaretaker</t>
  </si>
  <si>
    <t>CFSCADUL</t>
  </si>
  <si>
    <t>totalIncomeChildHousehold</t>
  </si>
  <si>
    <t>CFINCOME</t>
  </si>
  <si>
    <t>totalIncome</t>
  </si>
  <si>
    <t>medicalInsuranceChild</t>
  </si>
  <si>
    <t>CFINSUR</t>
  </si>
  <si>
    <t>primaryLanguageChild</t>
  </si>
  <si>
    <t>CFLANG</t>
  </si>
  <si>
    <t>language</t>
  </si>
  <si>
    <t>primaryLanguageChildOtherText</t>
  </si>
  <si>
    <t>CFOTHLAN</t>
  </si>
  <si>
    <t>isSecondaryLanguageChild</t>
  </si>
  <si>
    <t>CFSECLAN</t>
  </si>
  <si>
    <t>secondaryLanguageChild</t>
  </si>
  <si>
    <t>CFSECOND</t>
  </si>
  <si>
    <t>secondaryLanguageChildOtherText</t>
  </si>
  <si>
    <t>CFOTHSEC</t>
  </si>
  <si>
    <t>numberPlaceChildLive</t>
  </si>
  <si>
    <t>CFNMPLLV</t>
  </si>
  <si>
    <t>zipcode</t>
  </si>
  <si>
    <t>NF3ZIP3</t>
  </si>
  <si>
    <t>visitingNurseReceive</t>
  </si>
  <si>
    <t>CFNURSEV</t>
  </si>
  <si>
    <t>receive</t>
  </si>
  <si>
    <t>visitingNurseNeed</t>
  </si>
  <si>
    <t>CFNDNRSV</t>
  </si>
  <si>
    <t>homeNurseReceive</t>
  </si>
  <si>
    <t>CFNURSEH</t>
  </si>
  <si>
    <t>homeNurseNeed</t>
  </si>
  <si>
    <t>CFNDNRSH</t>
  </si>
  <si>
    <t>otPtReceive</t>
  </si>
  <si>
    <t>CFOTPT</t>
  </si>
  <si>
    <t>otPtNeed</t>
  </si>
  <si>
    <t>CFNDOTPT</t>
  </si>
  <si>
    <t>speechTherapyReceive</t>
  </si>
  <si>
    <t>CFSPEECH</t>
  </si>
  <si>
    <t>speechTherapyNeed</t>
  </si>
  <si>
    <t>CFNDSPCH</t>
  </si>
  <si>
    <t>earlyInterventionReceive</t>
  </si>
  <si>
    <t>CFEARLY</t>
  </si>
  <si>
    <t>earlyInterventionNeed</t>
  </si>
  <si>
    <t>CFNDEALY</t>
  </si>
  <si>
    <t>socialWorkForChildReceive</t>
  </si>
  <si>
    <t>CFSOCIAL</t>
  </si>
  <si>
    <t>socialWorkForChildNeed</t>
  </si>
  <si>
    <t>CFNDSOCL</t>
  </si>
  <si>
    <t>specialClinicReceive</t>
  </si>
  <si>
    <t>CFCLINIC</t>
  </si>
  <si>
    <t>specialClinicNeed</t>
  </si>
  <si>
    <t>CFNDCLIN</t>
  </si>
  <si>
    <t>pulmonaryReceive</t>
  </si>
  <si>
    <t>CFCVPUL</t>
  </si>
  <si>
    <t>pulmonaryNeed</t>
  </si>
  <si>
    <t>CFNDPUL</t>
  </si>
  <si>
    <t>ophthalmologicReceive</t>
  </si>
  <si>
    <t>CFCVOPH</t>
  </si>
  <si>
    <t>ophthalmologicNeed</t>
  </si>
  <si>
    <t>CFNDOPH</t>
  </si>
  <si>
    <t>gastrointestinalReceive</t>
  </si>
  <si>
    <t>CFCVGAS</t>
  </si>
  <si>
    <t>gastrointestinalNeed</t>
  </si>
  <si>
    <t>CFNDGAS</t>
  </si>
  <si>
    <t>audiologicReceive</t>
  </si>
  <si>
    <t>CFCVAUD</t>
  </si>
  <si>
    <t>audiologicNeed</t>
  </si>
  <si>
    <t>CFNDAUD</t>
  </si>
  <si>
    <t>neurologicReceive</t>
  </si>
  <si>
    <t>CFCVNEU</t>
  </si>
  <si>
    <t>neurologicNeed</t>
  </si>
  <si>
    <t>CFNDNEU</t>
  </si>
  <si>
    <t>otherReceive</t>
  </si>
  <si>
    <t>CFCVOTH</t>
  </si>
  <si>
    <t>otherNeed</t>
  </si>
  <si>
    <t>CFNDOTH</t>
  </si>
  <si>
    <t>otherNeedText</t>
  </si>
  <si>
    <t>CFCVOSP</t>
  </si>
  <si>
    <t>neurodevelopmentReceive</t>
  </si>
  <si>
    <t>CFEVAL</t>
  </si>
  <si>
    <t>neurodevelopmentNeed</t>
  </si>
  <si>
    <t>CFNDEVAL</t>
  </si>
  <si>
    <t>prematureFollowupClinicReceive</t>
  </si>
  <si>
    <t>CFPREFU</t>
  </si>
  <si>
    <t>prematureFollowupClinicNeed</t>
  </si>
  <si>
    <t>CFNDPFU</t>
  </si>
  <si>
    <t>regularDoctor</t>
  </si>
  <si>
    <t>CFREGDR</t>
  </si>
  <si>
    <t>resideChronicCareFacility</t>
  </si>
  <si>
    <t>CFCCFAC</t>
  </si>
  <si>
    <t>takenCareOfByOther</t>
  </si>
  <si>
    <t>CFCAROT</t>
  </si>
  <si>
    <t>traditionalCenterCare</t>
  </si>
  <si>
    <t>CFTRDYCR</t>
  </si>
  <si>
    <t>traditionalCenterCareAvgHrPerWeek</t>
  </si>
  <si>
    <t>CFTRDCHR</t>
  </si>
  <si>
    <t>medicalChildCare</t>
  </si>
  <si>
    <t>CFSPDYCR</t>
  </si>
  <si>
    <t>medicalChildCareAvgHrPerWeek</t>
  </si>
  <si>
    <t>CFSPDCHR</t>
  </si>
  <si>
    <t>medicalChildCareWhere</t>
  </si>
  <si>
    <t>CFSPDCLC</t>
  </si>
  <si>
    <t>homeCareLocation</t>
  </si>
  <si>
    <t>traditionalHomeCare</t>
  </si>
  <si>
    <t>CFHMDYCR</t>
  </si>
  <si>
    <t>traditionalHomeCareAvgHrPerWeek</t>
  </si>
  <si>
    <t>CFHMDCHR</t>
  </si>
  <si>
    <t>traditionalHomeCareWhose</t>
  </si>
  <si>
    <t>CFHMDCLC</t>
  </si>
  <si>
    <t>babysitter</t>
  </si>
  <si>
    <t>CFBBYSIT</t>
  </si>
  <si>
    <t>babysitterAvgHrPerWeek</t>
  </si>
  <si>
    <t>CFBSITHR</t>
  </si>
  <si>
    <t>babysitterRelation</t>
  </si>
  <si>
    <t>CFBABSTR</t>
  </si>
  <si>
    <t>SESInterviewWhere</t>
  </si>
  <si>
    <t>CFPLACE</t>
  </si>
  <si>
    <t>interviewLocation</t>
  </si>
  <si>
    <t>SESInterviewDate</t>
  </si>
  <si>
    <t>CFCOMPDT</t>
  </si>
  <si>
    <t>rehospitalize</t>
  </si>
  <si>
    <t>DFREHOSP</t>
  </si>
  <si>
    <t>Medical History</t>
  </si>
  <si>
    <t>numberRehospitalize</t>
  </si>
  <si>
    <t>DFTIMES</t>
  </si>
  <si>
    <t>operation</t>
  </si>
  <si>
    <t>DFOPERAT</t>
  </si>
  <si>
    <t>operationTypanostomyTube</t>
  </si>
  <si>
    <t>DFOPTYMP</t>
  </si>
  <si>
    <t>operationTracheostomy</t>
  </si>
  <si>
    <t>DFOPTRAC</t>
  </si>
  <si>
    <t>operationEyeSurgery</t>
  </si>
  <si>
    <t>DFOP_EYE</t>
  </si>
  <si>
    <t>operationEyeSurgeryReason</t>
  </si>
  <si>
    <t>DFOPEYER</t>
  </si>
  <si>
    <t>eyeSurgeryReason</t>
  </si>
  <si>
    <t>operationHerniaSurgery</t>
  </si>
  <si>
    <t>DFOPHERN</t>
  </si>
  <si>
    <t>operationGastrostomyTube</t>
  </si>
  <si>
    <t>DFOPGAST</t>
  </si>
  <si>
    <t>operationFundoplication</t>
  </si>
  <si>
    <t>DFOPFUND</t>
  </si>
  <si>
    <t>operationShuntForHydrocephalus</t>
  </si>
  <si>
    <t>DFOPSHUN</t>
  </si>
  <si>
    <t>operationReanastomosisOfLargeOrSmallIntenstine</t>
  </si>
  <si>
    <t>DFOPREAN</t>
  </si>
  <si>
    <t>operationPDALigation</t>
  </si>
  <si>
    <t>DFOPPDA</t>
  </si>
  <si>
    <t>operationBrochoscopy</t>
  </si>
  <si>
    <t>DFOPBRON</t>
  </si>
  <si>
    <t>operationHypospadiusRepair</t>
  </si>
  <si>
    <t>DFOPHYPO</t>
  </si>
  <si>
    <t>operationOther</t>
  </si>
  <si>
    <t>DFOPOTH</t>
  </si>
  <si>
    <t>operationOtherText</t>
  </si>
  <si>
    <t>DFOPOTHS</t>
  </si>
  <si>
    <t>medication</t>
  </si>
  <si>
    <t>DFMEDIC</t>
  </si>
  <si>
    <t>vitaminMineralSupplement</t>
  </si>
  <si>
    <t>NF4NUTRI</t>
  </si>
  <si>
    <t>medicationUse</t>
  </si>
  <si>
    <t>highCaloricFormula</t>
  </si>
  <si>
    <t>NF4CALOR</t>
  </si>
  <si>
    <t>diuretics</t>
  </si>
  <si>
    <t>NF4DIUR</t>
  </si>
  <si>
    <t>antiRefluxMedication</t>
  </si>
  <si>
    <t>NF4RFLUX</t>
  </si>
  <si>
    <t>bronchodilator</t>
  </si>
  <si>
    <t>NF4BRONC</t>
  </si>
  <si>
    <t>inhaledSteroid</t>
  </si>
  <si>
    <t>DFIHSTRD</t>
  </si>
  <si>
    <t>oralIvSteroid</t>
  </si>
  <si>
    <t>DFOLSTRD</t>
  </si>
  <si>
    <t>otherAsthmaMedication</t>
  </si>
  <si>
    <t>DFOASMA</t>
  </si>
  <si>
    <t>decongestantColdAllergyMedication</t>
  </si>
  <si>
    <t>DFALGYMD</t>
  </si>
  <si>
    <t>anticonvulsantMedication</t>
  </si>
  <si>
    <t>NF4ANTCV</t>
  </si>
  <si>
    <t>prophylaticAntibiotics</t>
  </si>
  <si>
    <t>DFPRANTI</t>
  </si>
  <si>
    <t>DFANTBIO</t>
  </si>
  <si>
    <t>constipationMedication</t>
  </si>
  <si>
    <t>DFCNSPAT</t>
  </si>
  <si>
    <t>bloodPressureMedication</t>
  </si>
  <si>
    <t>DFBPMED</t>
  </si>
  <si>
    <t>thyroidMedication</t>
  </si>
  <si>
    <t>DFTHYRD</t>
  </si>
  <si>
    <t>muscleRelaxants</t>
  </si>
  <si>
    <t>DFMRELAX</t>
  </si>
  <si>
    <t>botox</t>
  </si>
  <si>
    <t>DFBOTOX</t>
  </si>
  <si>
    <t>otherMedication</t>
  </si>
  <si>
    <t>NF4OTMDS</t>
  </si>
  <si>
    <t>otherMedicationText</t>
  </si>
  <si>
    <t>NF4OTHSP</t>
  </si>
  <si>
    <t>seizure</t>
  </si>
  <si>
    <t>DFSEIZ</t>
  </si>
  <si>
    <t>medicalEquipmentHomeUse</t>
  </si>
  <si>
    <t>DFRECVD</t>
  </si>
  <si>
    <t>apneaMonitor</t>
  </si>
  <si>
    <t>DFAPNEA</t>
  </si>
  <si>
    <t>oxygen</t>
  </si>
  <si>
    <t>DFOXYGEN</t>
  </si>
  <si>
    <t>ventilatorCPAP</t>
  </si>
  <si>
    <t>DFVENT</t>
  </si>
  <si>
    <t>gastrostomyTube</t>
  </si>
  <si>
    <t>DFTUBE</t>
  </si>
  <si>
    <t>tracheostomy</t>
  </si>
  <si>
    <t>DFTRACH</t>
  </si>
  <si>
    <t>pulseOximeter</t>
  </si>
  <si>
    <t>DFPLSEOX</t>
  </si>
  <si>
    <t>fluShot</t>
  </si>
  <si>
    <t>DFFLUSHT</t>
  </si>
  <si>
    <t>RSVProphylaxis</t>
  </si>
  <si>
    <t>DFRSVPRO</t>
  </si>
  <si>
    <t>independentFeedSelf</t>
  </si>
  <si>
    <t>DFSELF</t>
  </si>
  <si>
    <t>assistedEatByMouth</t>
  </si>
  <si>
    <t>DFASSIST</t>
  </si>
  <si>
    <t>tubeFeed</t>
  </si>
  <si>
    <t>DFTUBFED</t>
  </si>
  <si>
    <t>TPN</t>
  </si>
  <si>
    <t>DF_TPN</t>
  </si>
  <si>
    <t>dietMilk</t>
  </si>
  <si>
    <t>DF_MILK</t>
  </si>
  <si>
    <t>dietTableFood</t>
  </si>
  <si>
    <t>DFTBLFOD</t>
  </si>
  <si>
    <t>dietSoftFood</t>
  </si>
  <si>
    <t>DFSFTFOD</t>
  </si>
  <si>
    <t>dietLiquid</t>
  </si>
  <si>
    <t>DFLIQUID</t>
  </si>
  <si>
    <t>dietThickendLiquid</t>
  </si>
  <si>
    <t>DFTHKLQD</t>
  </si>
  <si>
    <t>subcutaneousFatNecrosis</t>
  </si>
  <si>
    <t>OF4FTNEC</t>
  </si>
  <si>
    <t>equipmentForStanding</t>
  </si>
  <si>
    <t>DFEQUIP</t>
  </si>
  <si>
    <t>adaptedStroller</t>
  </si>
  <si>
    <t>DFSTROLL</t>
  </si>
  <si>
    <t>bracesOrthotics</t>
  </si>
  <si>
    <t>DFBRACES</t>
  </si>
  <si>
    <t>walker</t>
  </si>
  <si>
    <t>DFWALKER</t>
  </si>
  <si>
    <t>stander</t>
  </si>
  <si>
    <t>DFSTNDER</t>
  </si>
  <si>
    <t>cornerChairTumblerForm</t>
  </si>
  <si>
    <t>DFCNRCHR</t>
  </si>
  <si>
    <t>weight_kg</t>
  </si>
  <si>
    <t>EFWEIGHT</t>
  </si>
  <si>
    <t>Medical Exam</t>
  </si>
  <si>
    <t>length_cm</t>
  </si>
  <si>
    <t>EFLENGTH</t>
  </si>
  <si>
    <t>headCircumference_cm</t>
  </si>
  <si>
    <t>EFHC</t>
  </si>
  <si>
    <t>strabismusRight</t>
  </si>
  <si>
    <t>NF5STRRT</t>
  </si>
  <si>
    <t>eye</t>
  </si>
  <si>
    <t>strabismusLeft</t>
  </si>
  <si>
    <t>NF5STRLT</t>
  </si>
  <si>
    <t>nystagmusRight</t>
  </si>
  <si>
    <t>NF5NYSRT</t>
  </si>
  <si>
    <t>nystagmusLeft</t>
  </si>
  <si>
    <t>NF5NYSLT</t>
  </si>
  <si>
    <t>rovingEyeMovementRight</t>
  </si>
  <si>
    <t>NF5ROVRT</t>
  </si>
  <si>
    <t>rovingEyeMovementLeft</t>
  </si>
  <si>
    <t>NF5ROVLT</t>
  </si>
  <si>
    <t>eyeTrackRight</t>
  </si>
  <si>
    <t>NF5TRKRT</t>
  </si>
  <si>
    <t>eyeTrackLeft</t>
  </si>
  <si>
    <t>NF5TRKLT</t>
  </si>
  <si>
    <t>visionRight</t>
  </si>
  <si>
    <t>EFVISINR</t>
  </si>
  <si>
    <t>vision</t>
  </si>
  <si>
    <t>visionLeft</t>
  </si>
  <si>
    <t>EFVISINL</t>
  </si>
  <si>
    <t>audiologicAssessment</t>
  </si>
  <si>
    <t>EFAUDIO</t>
  </si>
  <si>
    <t>audiologicPendingForAssessment</t>
  </si>
  <si>
    <t>EFCONPEN</t>
  </si>
  <si>
    <t>visualReinforcementAudiometry</t>
  </si>
  <si>
    <t>NF5VRA</t>
  </si>
  <si>
    <t>VRARight</t>
  </si>
  <si>
    <t>NF5VRART</t>
  </si>
  <si>
    <t>hearing</t>
  </si>
  <si>
    <t>VRALeft</t>
  </si>
  <si>
    <t>NF5VRALT</t>
  </si>
  <si>
    <t>VRASoundField</t>
  </si>
  <si>
    <t>NF5VRASN</t>
  </si>
  <si>
    <t>ABR</t>
  </si>
  <si>
    <t>NF5ABR</t>
  </si>
  <si>
    <t>ABRRight</t>
  </si>
  <si>
    <t>NF5ABRRT</t>
  </si>
  <si>
    <t>ABRLeft</t>
  </si>
  <si>
    <t>NF5ABRLT</t>
  </si>
  <si>
    <t>hearingTestUnknown</t>
  </si>
  <si>
    <t>NF5UKHR</t>
  </si>
  <si>
    <t>hearingTestUnknownRight</t>
  </si>
  <si>
    <t>NF5UKHRT</t>
  </si>
  <si>
    <t>hearingTestUnknownLeft</t>
  </si>
  <si>
    <t>NF5UKHLT</t>
  </si>
  <si>
    <t>hearingImpaired</t>
  </si>
  <si>
    <t>EFHEARIM</t>
  </si>
  <si>
    <t>hearingAidRequirement</t>
  </si>
  <si>
    <t>EFHRDIS</t>
  </si>
  <si>
    <t>hearingAid</t>
  </si>
  <si>
    <t>hearingImplant</t>
  </si>
  <si>
    <t>OFIMPLAN</t>
  </si>
  <si>
    <t>swallowing</t>
  </si>
  <si>
    <t>EFSWALL</t>
  </si>
  <si>
    <t>swallow</t>
  </si>
  <si>
    <t>dysphagia</t>
  </si>
  <si>
    <t>NF5DYSPH</t>
  </si>
  <si>
    <t>aspiration</t>
  </si>
  <si>
    <t>NF5ASPIR</t>
  </si>
  <si>
    <t>abnormalVoice</t>
  </si>
  <si>
    <t>NF5ABVOC</t>
  </si>
  <si>
    <t>drooling</t>
  </si>
  <si>
    <t>NF5DROOL</t>
  </si>
  <si>
    <t>nothingByMouth</t>
  </si>
  <si>
    <t>NF5NPO</t>
  </si>
  <si>
    <t>observedAbnormalMovement</t>
  </si>
  <si>
    <t>EFABREST</t>
  </si>
  <si>
    <t>observedAbnormalMovementShortJerky</t>
  </si>
  <si>
    <t>EFSHORTR</t>
  </si>
  <si>
    <t>observedAbnormalMovementSlowWrithing</t>
  </si>
  <si>
    <t>EFSLOWR</t>
  </si>
  <si>
    <t>observedAbnormalMovementTremor</t>
  </si>
  <si>
    <t>EFTREMRR</t>
  </si>
  <si>
    <t>passiveMuscleToneNeckTrunk</t>
  </si>
  <si>
    <t>NF5NCTRK</t>
  </si>
  <si>
    <t>passiveMuscleTone</t>
  </si>
  <si>
    <t>upperExtremityMuscleToneRight</t>
  </si>
  <si>
    <t>NF5UPEXR</t>
  </si>
  <si>
    <t>upperExtremityMuscleToneLeft</t>
  </si>
  <si>
    <t>NF5UPEXL</t>
  </si>
  <si>
    <t>lowerExtremityMuscleToneHipKneeRight</t>
  </si>
  <si>
    <t>NF5HPKNR</t>
  </si>
  <si>
    <t>lowerExtremityMuscleToneHipKneeLeft</t>
  </si>
  <si>
    <t>NF5HPKNL</t>
  </si>
  <si>
    <t>lowerExtremityMuscleToneAnkleRight</t>
  </si>
  <si>
    <t>NF5ANKLR</t>
  </si>
  <si>
    <t>lowerExtremityMuscleToneAnkleLeft</t>
  </si>
  <si>
    <t>NF5ANKLL</t>
  </si>
  <si>
    <t>scissoringLegs</t>
  </si>
  <si>
    <t>NF5SCISS</t>
  </si>
  <si>
    <t>handPreference</t>
  </si>
  <si>
    <t>NF5HNDPF</t>
  </si>
  <si>
    <t>protectiveReaction</t>
  </si>
  <si>
    <t>NF5PRORF</t>
  </si>
  <si>
    <t>limbMovementUpperLimb</t>
  </si>
  <si>
    <t>NF5LMBUP</t>
  </si>
  <si>
    <t>limbMovement</t>
  </si>
  <si>
    <t>limbMovementLowerLimb</t>
  </si>
  <si>
    <t>NF5LMBLW</t>
  </si>
  <si>
    <t>deepTendonReflexUpperExtremityRight</t>
  </si>
  <si>
    <t>NF5UPRRT</t>
  </si>
  <si>
    <t>deepTendonReflex</t>
  </si>
  <si>
    <t>deepTendonReflexUpperExtremityLeft</t>
  </si>
  <si>
    <t>NF5UPRLT</t>
  </si>
  <si>
    <t>deepTendonReflexKneeRight</t>
  </si>
  <si>
    <t>NF5KNERT</t>
  </si>
  <si>
    <t>deepTendonReflexKneeLeft</t>
  </si>
  <si>
    <t>NF5KNELT</t>
  </si>
  <si>
    <t>deepTendonReflexAnkleRight</t>
  </si>
  <si>
    <t>NF5AKLRT</t>
  </si>
  <si>
    <t>deepTendonReflexAnkleLeft</t>
  </si>
  <si>
    <t>NF5AKLLT</t>
  </si>
  <si>
    <t>ankleClonusRight</t>
  </si>
  <si>
    <t>NF5CLNRT</t>
  </si>
  <si>
    <t>ankleClonus</t>
  </si>
  <si>
    <t>ankleClonusLeft</t>
  </si>
  <si>
    <t>NF5CLNLT</t>
  </si>
  <si>
    <t>plantarReflexRight</t>
  </si>
  <si>
    <t>NF5PLNRT</t>
  </si>
  <si>
    <t>plantarReflex</t>
  </si>
  <si>
    <t>plantarReflexLeft</t>
  </si>
  <si>
    <t>NF5PLNLT</t>
  </si>
  <si>
    <t>axisHeadNeck</t>
  </si>
  <si>
    <t>EFAXISHD</t>
  </si>
  <si>
    <t>axisTrunk</t>
  </si>
  <si>
    <t>EFAXTRNK</t>
  </si>
  <si>
    <t>lowerLimbFunction</t>
  </si>
  <si>
    <t>EFLWRLMB</t>
  </si>
  <si>
    <t>upperLimbFunction</t>
  </si>
  <si>
    <t>EFUPRLMB</t>
  </si>
  <si>
    <t>handFunctionRight</t>
  </si>
  <si>
    <t>EFRHAND</t>
  </si>
  <si>
    <t>handFunction</t>
  </si>
  <si>
    <t>handFunctionLeft</t>
  </si>
  <si>
    <t>EFLHAND</t>
  </si>
  <si>
    <t>neuralNormal</t>
  </si>
  <si>
    <t>EFDGNORM</t>
  </si>
  <si>
    <t>generalizedHypotonia</t>
  </si>
  <si>
    <t>EFHYPOT</t>
  </si>
  <si>
    <t>hypertonia</t>
  </si>
  <si>
    <t>EFHYPERT</t>
  </si>
  <si>
    <t>neuralOther</t>
  </si>
  <si>
    <t>EFOTHER</t>
  </si>
  <si>
    <t>neuralOtherText</t>
  </si>
  <si>
    <t>NF5OCPSP</t>
  </si>
  <si>
    <t>spasticDiplegia</t>
  </si>
  <si>
    <t>EFDIPLEG</t>
  </si>
  <si>
    <t>spasticHemiplegiaRight</t>
  </si>
  <si>
    <t>EFHEMRT</t>
  </si>
  <si>
    <t>spasticHemiplegiaLeft</t>
  </si>
  <si>
    <t>EFHEMLT</t>
  </si>
  <si>
    <t>spasticQuadriplegia</t>
  </si>
  <si>
    <t>EFQUADR</t>
  </si>
  <si>
    <t>spasticTriplegia</t>
  </si>
  <si>
    <t>EFTRIPLE</t>
  </si>
  <si>
    <t>dystonia</t>
  </si>
  <si>
    <t>OF5DYSTO</t>
  </si>
  <si>
    <t>athetosis</t>
  </si>
  <si>
    <t>OF5ATCHA</t>
  </si>
  <si>
    <t>athetosisDystonia</t>
  </si>
  <si>
    <t>EFATHETO</t>
  </si>
  <si>
    <t>hypotoniaAtaxia</t>
  </si>
  <si>
    <t>NF5HYPTN</t>
  </si>
  <si>
    <t>OF5ATAXI</t>
  </si>
  <si>
    <t>spasticMonoplegia</t>
  </si>
  <si>
    <t>NF5MNPLG</t>
  </si>
  <si>
    <t>mixedCerebralPalsy</t>
  </si>
  <si>
    <t>NF5MXCP</t>
  </si>
  <si>
    <t>cerebralPalsyUnclassified</t>
  </si>
  <si>
    <t>NF5CPUN</t>
  </si>
  <si>
    <t>OFCPUN</t>
  </si>
  <si>
    <t>cerebralPalsyUnclassifiedText</t>
  </si>
  <si>
    <t>NF5CPSP</t>
  </si>
  <si>
    <t>OFCPUNDE</t>
  </si>
  <si>
    <t>cerebralPalsy</t>
  </si>
  <si>
    <t>EFCERPAL</t>
  </si>
  <si>
    <t>OFCERPAL</t>
  </si>
  <si>
    <t>cerebralPalsyClass</t>
  </si>
  <si>
    <t>EFCERGR</t>
  </si>
  <si>
    <t>OFCLPAL</t>
  </si>
  <si>
    <t>abrnomalityAffectingNeuroAssessment</t>
  </si>
  <si>
    <t>EFCONGEN</t>
  </si>
  <si>
    <t>abrnomalityAffectingNeuroAssessmentText</t>
  </si>
  <si>
    <t>EFCONGSP</t>
  </si>
  <si>
    <t>examWhere</t>
  </si>
  <si>
    <t>EFPLACE</t>
  </si>
  <si>
    <t>examWhereOtherText</t>
  </si>
  <si>
    <t>NF5LOCSP</t>
  </si>
  <si>
    <t>examQuality</t>
  </si>
  <si>
    <t>NF5QUALT</t>
  </si>
  <si>
    <t>examFactorAffecting</t>
  </si>
  <si>
    <t>NF5FACTR</t>
  </si>
  <si>
    <t>examFactorAffectingText</t>
  </si>
  <si>
    <t>NF5FACSP</t>
  </si>
  <si>
    <t>examCompleteDate</t>
  </si>
  <si>
    <t>EFCOMPDT</t>
  </si>
  <si>
    <t>BayleyIIICognitiveSubtest</t>
  </si>
  <si>
    <t>NF9ACSU</t>
  </si>
  <si>
    <t>Bayley-III</t>
  </si>
  <si>
    <t>BayleyIIIReasonNoSuccessCognitiveSubtest</t>
  </si>
  <si>
    <t>NF9ACSUR</t>
  </si>
  <si>
    <t>BayleyIIIReasonNoSuccess</t>
  </si>
  <si>
    <t>BayleyIIIReasonNoSuccessCognitiveSubtestText</t>
  </si>
  <si>
    <t>NF9ACSUS</t>
  </si>
  <si>
    <t>BayleyIIILanguageReceptiveSubtest</t>
  </si>
  <si>
    <t>NF9ALRC</t>
  </si>
  <si>
    <t>BayleyIIIReasonNoSuccessLanguageReceptiveSubtest</t>
  </si>
  <si>
    <t>NF9ALRCR</t>
  </si>
  <si>
    <t>BayleyIIIReasonNoSuccessLanguageReceptiveSubtestText</t>
  </si>
  <si>
    <t>NF9ALRCS</t>
  </si>
  <si>
    <t>BayleyIIILanguageExpressiveSubtest</t>
  </si>
  <si>
    <t>NF9ALEC</t>
  </si>
  <si>
    <t>BayleyIIIReasonNoSuccessLanguageExpressiveSubtest</t>
  </si>
  <si>
    <t>NF9ALECR</t>
  </si>
  <si>
    <t>BayleyIIIReasonNoSuccessLanguageExpressiveSubtestText</t>
  </si>
  <si>
    <t>NF9ALECS</t>
  </si>
  <si>
    <t>BayleyIIIMotorFineSubtest</t>
  </si>
  <si>
    <t>NF9AMFN</t>
  </si>
  <si>
    <t>BayleyIIIReasonNoSuccessMotorFineSubtest</t>
  </si>
  <si>
    <t>NF9AMFNR</t>
  </si>
  <si>
    <t>BayleyIIIReasonNoSuccessMotorFineSubtestText</t>
  </si>
  <si>
    <t>NF9AMFNS</t>
  </si>
  <si>
    <t>BayleyIIIMotorGrossSubtest</t>
  </si>
  <si>
    <t>NF9AMGR</t>
  </si>
  <si>
    <t>BayleyIIIReasonNoSuccessMotorGrossSubtest</t>
  </si>
  <si>
    <t>NF9AMGRR</t>
  </si>
  <si>
    <t>BayleyIIIReasonNoSuccessMotorGrossSubtestText</t>
  </si>
  <si>
    <t>NF9AMGRS</t>
  </si>
  <si>
    <t>BayleyIIIAdjustedAgeForCognitiveTest</t>
  </si>
  <si>
    <t>NF9AAACS</t>
  </si>
  <si>
    <t>BayleyIIIAdjustedAgeForReceptiveCommunication</t>
  </si>
  <si>
    <t>NF9AAARC</t>
  </si>
  <si>
    <t>BayleyIIIAdjustedAgeForExpressiveCommunication</t>
  </si>
  <si>
    <t>NF9AAAEC</t>
  </si>
  <si>
    <t>BayleyIIIAdjustedAgeForMotorFineSubtest</t>
  </si>
  <si>
    <t>NF9AAAMF</t>
  </si>
  <si>
    <t>BayleyIIIAdjustedAgeForMotorGrossSubtest</t>
  </si>
  <si>
    <t>NF9AAAMG</t>
  </si>
  <si>
    <t>BayleyIIICognitiveRaw</t>
  </si>
  <si>
    <t>NF9ABSCR</t>
  </si>
  <si>
    <t>BayleyIIICognitiveScale</t>
  </si>
  <si>
    <t>NF9ABSCS</t>
  </si>
  <si>
    <t>BayleyIIICognitiveComposite</t>
  </si>
  <si>
    <t>NF9ABSCC</t>
  </si>
  <si>
    <t>BayleyIIIReceptiveRaw</t>
  </si>
  <si>
    <t>NF9ABSRR</t>
  </si>
  <si>
    <t>BayleyIIIReceptiveScale</t>
  </si>
  <si>
    <t>NF9ABSRS</t>
  </si>
  <si>
    <t>BayleyIIIExpressiveRaw</t>
  </si>
  <si>
    <t>NF9ABSER</t>
  </si>
  <si>
    <t>BayleyIIIExpressiveScale</t>
  </si>
  <si>
    <t>NF9ABSES</t>
  </si>
  <si>
    <t>BayleyIIISumLanguageScore</t>
  </si>
  <si>
    <t>NF9ABSLS</t>
  </si>
  <si>
    <t>BayleyIIILanguageComposite</t>
  </si>
  <si>
    <t>NF9ABSLC</t>
  </si>
  <si>
    <t>BayleyIIIMotorFineRaw</t>
  </si>
  <si>
    <t>NF9AMFRW</t>
  </si>
  <si>
    <t>BayleyIIIMotorFineScale</t>
  </si>
  <si>
    <t>NF9AMFSS</t>
  </si>
  <si>
    <t>BayleyIIIMotorGrossRaw</t>
  </si>
  <si>
    <t>NF9AMGRW</t>
  </si>
  <si>
    <t>BayleyIIIMotorGrossScale</t>
  </si>
  <si>
    <t>NF9AMGSS</t>
  </si>
  <si>
    <t>BayleyIIISumMotorScore</t>
  </si>
  <si>
    <t>NF9AMGSM</t>
  </si>
  <si>
    <t>BayleyIIIMotorComposite</t>
  </si>
  <si>
    <t>NF9AMCMP</t>
  </si>
  <si>
    <t>BayleyIIIInEnglish</t>
  </si>
  <si>
    <t>NF9ABSEN</t>
  </si>
  <si>
    <t>BayleyIIIRequireInterpreter</t>
  </si>
  <si>
    <t>NF9ABSIN</t>
  </si>
  <si>
    <t>BayleyIIIAdministratorMaskedToChildHistory</t>
  </si>
  <si>
    <t>NF9ABSMK</t>
  </si>
  <si>
    <t>BayleyIIIWhere</t>
  </si>
  <si>
    <t>NF9AWEC</t>
  </si>
  <si>
    <t>BayleyIIIDate</t>
  </si>
  <si>
    <t>NF9ADATE</t>
  </si>
  <si>
    <t>grossMotorFunctionLevel</t>
  </si>
  <si>
    <t>NF5GROSS</t>
  </si>
  <si>
    <t>GMFCS</t>
  </si>
  <si>
    <t>statusVisitDate</t>
  </si>
  <si>
    <t>NF10VSDT</t>
  </si>
  <si>
    <t>statusBirthDate</t>
  </si>
  <si>
    <t>JFBRTDT</t>
  </si>
  <si>
    <t>childFinalStatus</t>
  </si>
  <si>
    <t>JFSTATUS</t>
  </si>
  <si>
    <t>followupStatus</t>
  </si>
  <si>
    <t>JFDTHDT</t>
  </si>
  <si>
    <t>OFCAUSOD</t>
  </si>
  <si>
    <t>reasonLossFollowUp</t>
  </si>
  <si>
    <t>JFREASN</t>
  </si>
  <si>
    <t>firstVisitDate</t>
  </si>
  <si>
    <t>KFFSTDT</t>
  </si>
  <si>
    <t>finalVisitDate</t>
  </si>
  <si>
    <t>KFSECDT</t>
  </si>
  <si>
    <t>readmissionNumber</t>
  </si>
  <si>
    <t>DFREADNM</t>
  </si>
  <si>
    <t>Readmission</t>
  </si>
  <si>
    <t>readmissionTimePeriod</t>
  </si>
  <si>
    <t>DFTIMEA</t>
  </si>
  <si>
    <t>readmissionPrimaryCause</t>
  </si>
  <si>
    <t>DFCAUSE</t>
  </si>
  <si>
    <t>readmissionPrimaryCauseOtherText</t>
  </si>
  <si>
    <t>NF4AROTS</t>
  </si>
  <si>
    <t>readmissionLengthOfStay</t>
  </si>
  <si>
    <t>OFLENOHS</t>
  </si>
  <si>
    <t>readmissionICU</t>
  </si>
  <si>
    <t>OFTIMICU</t>
  </si>
  <si>
    <t>lostFollowUpInformationAvailableIndirectSrc</t>
  </si>
  <si>
    <t>LFOSOURC</t>
  </si>
  <si>
    <t>Lost Followup</t>
  </si>
  <si>
    <t>lostFollowUpLastContactDate</t>
  </si>
  <si>
    <t>LFCONTDT</t>
  </si>
  <si>
    <t>lostFollowUpFormCompleteDate</t>
  </si>
  <si>
    <t>LFCOMPDT</t>
  </si>
  <si>
    <t>lostFollowUpChildAlive</t>
  </si>
  <si>
    <t>LFALIVE</t>
  </si>
  <si>
    <t>lostFollowUpLastKnownAliveCorrectedAge_mo</t>
  </si>
  <si>
    <t>LFADJAGE</t>
  </si>
  <si>
    <t>lostFollowUpDeathDate</t>
  </si>
  <si>
    <t>LFDTHDT</t>
  </si>
  <si>
    <t>lostFollowUpInterview</t>
  </si>
  <si>
    <t>LFINTERV</t>
  </si>
  <si>
    <t>lostFollowUpInterviewDate</t>
  </si>
  <si>
    <t>LFINTDT</t>
  </si>
  <si>
    <t>lostFollowUpInterviewCorrectedAge_mo</t>
  </si>
  <si>
    <t>LFINTAGE</t>
  </si>
  <si>
    <t>lostFollowUpAnyQuestionCompleteChartReview</t>
  </si>
  <si>
    <t>LFCHART2</t>
  </si>
  <si>
    <t>lostFollowUpChartReviewDate</t>
  </si>
  <si>
    <t>LFCHARDT</t>
  </si>
  <si>
    <t>lostFollowUpChartReviewCorrectedAge_mo</t>
  </si>
  <si>
    <t>LFCHARAG</t>
  </si>
  <si>
    <t>interviewChildHealth</t>
  </si>
  <si>
    <t>LFHEALTH</t>
  </si>
  <si>
    <t>childHealth</t>
  </si>
  <si>
    <t>interviewWalkAlone</t>
  </si>
  <si>
    <t>LFWALK</t>
  </si>
  <si>
    <t>interviewWalkAloneAge_mo</t>
  </si>
  <si>
    <t>LFWKAGE</t>
  </si>
  <si>
    <t>interviewSittingAlong</t>
  </si>
  <si>
    <t>LFSITTIN</t>
  </si>
  <si>
    <t>interviewHeadControl</t>
  </si>
  <si>
    <t>LFHEAD</t>
  </si>
  <si>
    <t>interviewSee</t>
  </si>
  <si>
    <t>LFSEE</t>
  </si>
  <si>
    <t>interviewEyeExam</t>
  </si>
  <si>
    <t>LFEYEQ</t>
  </si>
  <si>
    <t>interviewNeedWearGlasses</t>
  </si>
  <si>
    <t>NF12GLAS</t>
  </si>
  <si>
    <t>interviewHear</t>
  </si>
  <si>
    <t>LFHEAR</t>
  </si>
  <si>
    <t>interviewHearExam</t>
  </si>
  <si>
    <t>LFHEARQ</t>
  </si>
  <si>
    <t>interviewNeedWearHearingAid</t>
  </si>
  <si>
    <t>LFHEAIDQ</t>
  </si>
  <si>
    <t>interviewNumberWordVocabulary</t>
  </si>
  <si>
    <t>NF12NMWD</t>
  </si>
  <si>
    <t>interviewCombine2Words</t>
  </si>
  <si>
    <t>NF12C2WD</t>
  </si>
  <si>
    <t>interviewCombine3Words</t>
  </si>
  <si>
    <t>NF12C3WD</t>
  </si>
  <si>
    <t>interviewHydrocephalusShunt</t>
  </si>
  <si>
    <t>LFHYDROQ</t>
  </si>
  <si>
    <t>interviewCerebralPalsy</t>
  </si>
  <si>
    <t>LFCPQ</t>
  </si>
  <si>
    <t>interviewDevelopmentalDelay</t>
  </si>
  <si>
    <t>LFDEVDQ</t>
  </si>
  <si>
    <t>interviewLanguageDelay</t>
  </si>
  <si>
    <t>LFLANDQ</t>
  </si>
  <si>
    <t>interviewPoorWeightGain</t>
  </si>
  <si>
    <t>LFWEIGHQ</t>
  </si>
  <si>
    <t>interviewSeizure</t>
  </si>
  <si>
    <t>LFSEIZUQ</t>
  </si>
  <si>
    <t>interviewBlindness</t>
  </si>
  <si>
    <t>LFBLINDQ</t>
  </si>
  <si>
    <t>interviewOtherBehaviorProblem</t>
  </si>
  <si>
    <t>NF12BHPB</t>
  </si>
  <si>
    <t>interviewOtherBehaviorProblemText</t>
  </si>
  <si>
    <t>NF12BHDS</t>
  </si>
  <si>
    <t>interviewOtherMajorMedicalProblem</t>
  </si>
  <si>
    <t>NF12MDPB</t>
  </si>
  <si>
    <t>interviewOtherMajorMedicalProblemText</t>
  </si>
  <si>
    <t>NF12MDDS</t>
  </si>
  <si>
    <t>interviewOtherNeuraldevelopmentalProblem</t>
  </si>
  <si>
    <t>NF12NRPB</t>
  </si>
  <si>
    <t>interviewOtherNeuraldevelopmentalProblemText</t>
  </si>
  <si>
    <t>NF12NRDS</t>
  </si>
  <si>
    <t>interviewMotorGrossFunctionLevel</t>
  </si>
  <si>
    <t>OF12GMFL</t>
  </si>
  <si>
    <t>chartReviewEyeExam</t>
  </si>
  <si>
    <t>LFEYEC</t>
  </si>
  <si>
    <t>chartReview</t>
  </si>
  <si>
    <t>chartReviewHearingExam</t>
  </si>
  <si>
    <t>LFHEARC</t>
  </si>
  <si>
    <t>chartReviewNeedWearHearingAid</t>
  </si>
  <si>
    <t>LFHEAIDC</t>
  </si>
  <si>
    <t>chartReviewHydrocephalusShunt</t>
  </si>
  <si>
    <t>LFHYDROC</t>
  </si>
  <si>
    <t>chartReviewCerebralPalsy</t>
  </si>
  <si>
    <t>LFCPC</t>
  </si>
  <si>
    <t>chartReviewDevelopmentalDelay</t>
  </si>
  <si>
    <t>LFDEVDEC</t>
  </si>
  <si>
    <t>chartReviewLanguageDelay</t>
  </si>
  <si>
    <t>LFLANDEC</t>
  </si>
  <si>
    <t>chartReviewPoorWeightGain</t>
  </si>
  <si>
    <t>LFWEIGHC</t>
  </si>
  <si>
    <t>chartReviewSeizure</t>
  </si>
  <si>
    <t>LFSEIZUC</t>
  </si>
  <si>
    <t>chartReviewBlindness</t>
  </si>
  <si>
    <t>NF12BLND</t>
  </si>
  <si>
    <t>chartReviewOtherBehaviorProblem</t>
  </si>
  <si>
    <t>NF12CHBH</t>
  </si>
  <si>
    <t>chartReviewOtherBehaviorProblemText</t>
  </si>
  <si>
    <t>NF12CHBD</t>
  </si>
  <si>
    <t>chartReviewOtherMajorMedicalProblem</t>
  </si>
  <si>
    <t>NF12CHMM</t>
  </si>
  <si>
    <t>chartReviewOtherMajorMedicalProblemText</t>
  </si>
  <si>
    <t>NF12CHMD</t>
  </si>
  <si>
    <t>chartReviewOtherNeuraldevelopmentalProblem</t>
  </si>
  <si>
    <t>NF12CHNR</t>
  </si>
  <si>
    <t>chartReviewOtherNeuraldevelopmentalProblemText</t>
  </si>
  <si>
    <t>NF12CHND</t>
  </si>
  <si>
    <t>chartReviewMotorGrossFunctionLevel</t>
  </si>
  <si>
    <t>OF12CHGM</t>
  </si>
  <si>
    <t>blindness</t>
  </si>
  <si>
    <t>Secondary</t>
  </si>
  <si>
    <t>moderateSevereCerebralPalsy</t>
  </si>
  <si>
    <t>modsevcp</t>
  </si>
  <si>
    <t>cerebralPalsyMerge</t>
  </si>
  <si>
    <t>cp_out</t>
  </si>
  <si>
    <t>gastrostomyTube_b</t>
  </si>
  <si>
    <t>gas_tube</t>
  </si>
  <si>
    <t>grossMotorFunctionLevelSeverity</t>
  </si>
  <si>
    <t>gross</t>
  </si>
  <si>
    <t>severity</t>
  </si>
  <si>
    <t>hearingImpairedWithAid</t>
  </si>
  <si>
    <t>hear_imp</t>
  </si>
  <si>
    <t>hearingImpairedLevel</t>
  </si>
  <si>
    <t>multipleImpairment</t>
  </si>
  <si>
    <t>mult_imp</t>
  </si>
  <si>
    <t>afterDischargeSeizure</t>
  </si>
  <si>
    <t>seiz_fu</t>
  </si>
  <si>
    <t>flagAdjudicatedOutcome</t>
  </si>
  <si>
    <t>adjudicate</t>
  </si>
  <si>
    <t>Outcome</t>
  </si>
  <si>
    <t>normalPrimaryOutcome</t>
  </si>
  <si>
    <t>all_norm</t>
  </si>
  <si>
    <t>BayleyIIILanguage</t>
  </si>
  <si>
    <t>b3_lang</t>
  </si>
  <si>
    <t>BayleyIIIMotor</t>
  </si>
  <si>
    <t>b3_motor</t>
  </si>
  <si>
    <t>BayleyIIICognitive</t>
  </si>
  <si>
    <t>bayley3</t>
  </si>
  <si>
    <t>deathBeforeFollowup</t>
  </si>
  <si>
    <t>death18</t>
  </si>
  <si>
    <t>deathBeforeDischarge</t>
  </si>
  <si>
    <t>hosp_die</t>
  </si>
  <si>
    <t>disabilityLevelSurvivor</t>
  </si>
  <si>
    <t>disab_4</t>
  </si>
  <si>
    <t>disabilityLevelDeath4Category</t>
  </si>
  <si>
    <t>disab_die4</t>
  </si>
  <si>
    <t>moderateSevereDisabilityOrDeath</t>
  </si>
  <si>
    <t>disab_die</t>
  </si>
  <si>
    <t>moderateSevereDisabilitySurvivor</t>
  </si>
  <si>
    <t>disab_ms</t>
  </si>
  <si>
    <t>outcomeGroup</t>
  </si>
  <si>
    <t>out_grp</t>
  </si>
  <si>
    <t>disabilityLevelDeath</t>
  </si>
  <si>
    <t>COUNTA of filename</t>
  </si>
  <si>
    <t>COUNTA of display_type</t>
  </si>
  <si>
    <t>is-same</t>
  </si>
  <si>
    <t>Grand Total</t>
  </si>
  <si>
    <t>deathDisabilityLevel</t>
  </si>
  <si>
    <t>_count</t>
  </si>
  <si>
    <t>death</t>
  </si>
  <si>
    <t>mild</t>
  </si>
  <si>
    <t>moderate</t>
  </si>
  <si>
    <t>normal</t>
  </si>
  <si>
    <t>severe</t>
  </si>
  <si>
    <t>missing</t>
  </si>
  <si>
    <t>SUM of _count</t>
  </si>
  <si>
    <t>death(%)</t>
  </si>
  <si>
    <t>mild(%)</t>
  </si>
  <si>
    <t>missing(%)</t>
  </si>
  <si>
    <t>moderate(%)</t>
  </si>
  <si>
    <t>normal(%)</t>
  </si>
  <si>
    <t>severe(%)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</si>
</sst>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FF99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  <scheme val="minor"/>
    </font>
    <font>
      <b/>
      <color rgb="FFFF99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1" numFmtId="49" xfId="0" applyFont="1" applyNumberFormat="1"/>
    <xf borderId="0" fillId="0" fontId="1" numFmtId="10" xfId="0" applyFont="1" applyNumberFormat="1"/>
    <xf borderId="0" fillId="0" fontId="1" numFmtId="4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185" sheet="02-variable-info"/>
  </cacheSource>
  <cacheFields>
    <cacheField name="filename" numFmtId="0">
      <sharedItems containsBlank="1">
        <m/>
        <s v="01-02-screening.csv"/>
        <s v="01-03-maternal-demographics.csv"/>
        <s v="01-04-pregnancy-history.csv"/>
        <s v="01-05-labor-delivery.csv"/>
        <s v="01-06-birth.csv"/>
        <s v="01-07-pre-temperature.csv"/>
        <s v="01-08-pre-cardiovascular.csv"/>
        <s v="01-09-pre-infection.csv"/>
        <s v="01-10-pre-other-med.csv"/>
        <s v="01-11-pre-imaging.csv"/>
        <s v="01-12-neuro-exam.csv"/>
        <s v="01-12_1-total-modified-sarnat.csv"/>
        <s v="02-01-temperature.csv"/>
        <s v="02-02-cardiovascular.csv"/>
        <s v="02-03-respiratory.csv"/>
        <s v="02-04-blood-gas.csv"/>
        <s v="02-05-hematology.csv"/>
        <s v="02-05_s-hematology.csv"/>
        <s v="02-06_s-blood-value.csv"/>
        <s v="02-07-infection.csv"/>
        <s v="02-08-other-med.csv"/>
        <s v="02-09-imaging.csv"/>
        <s v="02-11-elevated-temperature.csv"/>
        <s v="02-12-fluctuated-temperature.csv"/>
        <s v="02-13-bradycardia.csv"/>
        <s v="02-14-adverse-event.csv"/>
        <s v="02-15-violation.csv"/>
        <s v="02-16-interrupt.csv"/>
        <s v="02-17-discontinue.csv"/>
        <s v="03-01-post-temperature.csv"/>
        <s v="03-01_s-post-temperature.csv"/>
        <s v="03-02-post-blood-value.csv"/>
        <s v="03-03-post-imaging.csv"/>
        <s v="03-04-post-neuro-exam.csv"/>
        <s v="03-04_1-total-modified-sarnat.csv"/>
        <s v="03-05-mri.csv"/>
        <s v="03-05_s-mri.csv"/>
        <s v="03-05_s1-mri.csv"/>
        <s v="04-01-status.csv"/>
        <s v="04-01_1-length-of-stay.csv"/>
        <s v="04-02-cardiovascular.csv"/>
        <s v="04-03-respiratory.csv"/>
        <s v="04-04-hematology.csv"/>
        <s v="04-05-metabolic.csv"/>
        <s v="04-06-renal.csv"/>
        <s v="04-07-gastrointestinal.csv"/>
        <s v="04-08-skin.csv"/>
        <s v="04-09-auditory.csv"/>
        <s v="04-10-surgery.csv"/>
        <s v="04-11-infection.csv"/>
        <s v="04-12-neuro-exam.csv"/>
        <s v="04-12_1-total-modified-sarnat.csv"/>
        <s v="04-13-seizure.csv"/>
        <s v="04-14-birth-defect.csv"/>
        <s v="04-15-home-therapy.csv"/>
        <s v="04-16-wdraw-support.csv"/>
        <s v="04-17-limit-care.csv"/>
        <s v="20-01-ses.csv"/>
        <s v="20-02-medical-history.csv"/>
        <s v="20-03-medical-exam.csv"/>
        <s v="20-04-bayley-iii.csv"/>
        <s v="20-05-gmfcs.csv"/>
        <s v="20-06-status.csv"/>
        <s v="20-07-readmission.csv"/>
        <s v="20-08-lost.csv"/>
        <s v="20-09-secondary.csv"/>
        <s v="20-10-outcome.csv"/>
        <s v="20-10_1-disability-level-death.csv"/>
      </sharedItems>
    </cacheField>
    <cacheField name="variable" numFmtId="0">
      <sharedItems containsBlank="1">
        <s v="_study"/>
        <s v="center"/>
        <s v="subjectID"/>
        <s v="followupCenter"/>
        <s v="followupID"/>
        <s v="birthNumber"/>
        <s v="screenComment"/>
        <s v="coreTempLess32p5CGreaterEq2Hr_e"/>
        <s v="coreTempLess33p5CGreater1Hr_e"/>
        <s v="coreTempLess34CGreater1Hr_e"/>
        <s v="first6HrCoolByClinicalProtocol_e"/>
        <s v="chromosomalAbnormality_e"/>
        <s v="majorCongenitalAnomaly_e"/>
        <s v="birthWeightLessEq1800g_e"/>
        <s v="infantUnlikelySurvive_e"/>
        <s v="first60MinAllBloodGasPHGreater7p15BaseDeficitLess10mEqPerL_e"/>
        <s v="postnatalAgeLess6HrOrGreater24Hr_e"/>
        <s v="enrolledConflictingTrial_e"/>
        <s v="first60MinAnyBloodGasPHLessEq7_i"/>
        <s v="first60MinAnyBloodGasBaseDeficitGreaterEq16mEqPerL_i"/>
        <s v="historyPerinatalEvent_i"/>
        <s v="at10MinApgarLessEq5OrVent_i"/>
        <s v="randomEligible"/>
        <s v="consentStatus"/>
        <s v="noConsentReason"/>
        <s v="noInStudyReason"/>
        <s v="random"/>
        <s v="noRandomReason"/>
        <s v="noRandomReasonText"/>
        <s v="randomDate"/>
        <s v="randomTime"/>
        <s v="ageRand_hr"/>
        <s v="randomNumber"/>
        <s v="randomTreatmentAssign"/>
        <s v="randomTreatmentReceive"/>
        <s v="treatmentBlanketType"/>
        <s v="treatmentAssignmentDuration_hr"/>
        <s v="treatmentAssignmentTemperature"/>
        <s v="usualCoolingTreatmentGroup"/>
        <s v="inOtherTrial"/>
        <s v="inOtherTrialText"/>
        <s v="motherAge_year"/>
        <s v="motherRace"/>
        <s v="motherEthnicity"/>
        <s v="motherMaritalStatus"/>
        <s v="motherEducation"/>
        <s v="motherInsurance"/>
        <s v="gravida"/>
        <s v="parity"/>
        <s v="multipleBirth"/>
        <s v="numFetus"/>
        <s v="prenatalCare"/>
        <s v="hypertensionEclampsia"/>
        <s v="antepartumHemorrhage"/>
        <s v="thyroidMalfunction"/>
        <s v="diabetes"/>
        <s v="maternalAdmissionDate"/>
        <s v="maternalAdmissionTime"/>
        <s v="ruptureDate"/>
        <s v="ruptureTime"/>
        <s v="ruptureGreater18Hr"/>
        <s v="ruptureBeforeDelivery"/>
        <s v="labor"/>
        <s v="laborOnsetDate"/>
        <s v="laborOnsetTime"/>
        <s v="deliveryMode"/>
        <s v="fetalDecelerate"/>
        <s v="cordMishap"/>
        <s v="uterineRupture"/>
        <s v="shoulderDystocia"/>
        <s v="placentalProblem"/>
        <s v="maternalHemorrhage"/>
        <s v="maternalTrauma"/>
        <s v="maternalCardioRespiratoryArrest"/>
        <s v="maternalSeizure"/>
        <s v="perinatalSentinelEvent"/>
        <s v="pyrexiaGreater37p6C"/>
        <s v="chorioamnionitis"/>
        <s v="placentalPathologyPerformed"/>
        <s v="histologicChorioamionitis"/>
        <s v="laborAntibiotics"/>
        <s v="laborAntibioticsCode1"/>
        <s v="emergencyCSection"/>
        <s v="encephalopathyLevel"/>
        <s v="randomInfantAge"/>
        <s v="birthWeight_g"/>
        <s v="birthLength_cm"/>
        <s v="birthHeadCircumference_cm"/>
        <s v="birthGestationalAge_week"/>
        <s v="infantSex"/>
        <s v="maleSex"/>
        <s v="infantOutborn"/>
        <s v="outbornInHospital"/>
        <s v="outbornOutHospital"/>
        <s v="neonateAdmissionDate"/>
        <s v="neonateAdmissionTime"/>
        <s v="Apgar1min"/>
        <s v="Apgar5min"/>
        <s v="Apgar10min"/>
        <s v="Apgar15min"/>
        <s v="Apgar20min"/>
        <s v="deliveryResuscitation"/>
        <s v="deliveryOxygen"/>
        <s v="deliveryBaggingAndMask"/>
        <s v="deliveryChestCompression"/>
        <s v="deliveryIntubation"/>
        <s v="deliveryDrug"/>
        <s v="at10MinContinueResuscitation"/>
        <s v="at10MinOxygen"/>
        <s v="at10MinBaggingAndMask"/>
        <s v="at10MinChestCompression"/>
        <s v="at10MinIntubation"/>
        <s v="at10MinDrug"/>
        <s v="spontaneousRespirationTime"/>
        <s v="cordBloodGas"/>
        <s v="cordBloodGasSrc"/>
        <s v="cordBloodGasPH"/>
        <s v="cordBloodGasPCO2_mmHg"/>
        <s v="cordBloodGasPO2_mmHg"/>
        <s v="cordBloodGasHCO3_mEqPerL"/>
        <s v="cordBloodGasBaseDeficit_mEqPerL"/>
        <s v="firstPostnatalBloodGas"/>
        <s v="firstPostnatalBloodGasSrc"/>
        <s v="firstPostnatalBloodGasDate"/>
        <s v="firstPostnatalBloodGasTime"/>
        <s v="firstPostnatalBloodGasPH"/>
        <s v="firstPostnatalBloodGasPCO2_mmHg"/>
        <s v="firstPostnatalBloodGasPO2_mmHg"/>
        <s v="firstPostnatalBloodGasHCO3_mEqPerL"/>
        <s v="firstPostnatalBloodGasBaseDeficit_mEqPerL"/>
        <s v="acidosis"/>
        <s v="Apgar10minLess5"/>
        <s v="Apgar10minLessEq5"/>
        <s v="Apgar5minLessEq5"/>
        <s v="initBloodGasBaseDeficit_mEqPerL"/>
        <s v="initBloodGasBaseDeficit_mEqPerLSrc"/>
        <s v="initBloodGasPH"/>
        <s v="initBloodGasPHSrc"/>
        <s v="birthDate"/>
        <s v="birthTime"/>
        <s v="targetTreatmentTemperature_C"/>
        <s v="pre_CoolInitiate"/>
        <s v="pre_CoolbyIceGelPack"/>
        <s v="pre_CoolPassively"/>
        <s v="pre_CoolClinically"/>
        <s v="pre_CoolInitiateDate"/>
        <s v="pre_CoolInitiateTime"/>
        <s v="pre_AfterOvershootReach33p5C"/>
        <s v="pre_AfterOvershootReach33p5CDate"/>
        <s v="pre_AfterOvershootReach33p5CTime"/>
        <s v="pre_TemperatureMinDate"/>
        <s v="pre_TemperatureMinTime"/>
        <s v="pre_SkinTemperatureMin_C"/>
        <s v="pre_AxillaryTemperatureMin_C"/>
        <s v="pre_EsophagealTemperatureMin_C"/>
        <s v="pre_ServoSetMin_C"/>
        <s v="pre_TemperatureMaxDate"/>
        <s v="pre_TemperatureMaxTime"/>
        <s v="pre_SkinTemperatureMax_C"/>
        <s v="pre_AxillaryTemperatureMax_C"/>
        <s v="pre_EsophagealTemperatureMax_C"/>
        <s v="pre_ServoSetMax_C"/>
        <s v="pre_CardioDate"/>
        <s v="pre_CardioTime"/>
        <s v="pre_CardioSystolicBloodPressure_mmHg"/>
        <s v="pre_CardioDiastolicBloodPressure_mmHg"/>
        <s v="pre_CardioHeartRate_BPM"/>
        <s v="pre_CardioVolumeExpand"/>
        <s v="pre_CardioInotropicAgent"/>
        <s v="pre_CardioBloodTransfusion"/>
        <s v="pre_CardioPlatelets"/>
        <s v="pre_PositiveCulture"/>
        <s v="pre_PositiveCultureSrc"/>
        <s v="pre_PositiveCultureDate"/>
        <s v="pre_PositiveCultureTime"/>
        <s v="pre_PositiveCultureOrganismCode1"/>
        <s v="pre_Antibiotics"/>
        <s v="pre_AntibioticsCode1"/>
        <s v="pre_OtherMedTargetDate"/>
        <s v="pre_OtherMedTargetTime"/>
        <s v="pre_Anticonvulsants1"/>
        <s v="pre_AnalgesicsSedatives1"/>
        <s v="pre_Antipyretics1"/>
        <s v="pre_Paralytics1"/>
        <s v="pre_OtherMedFluidIntake_ccPerKg"/>
        <s v="pre_OtherMedUrineOutput_ccPerKg"/>
        <s v="pre_HeadSonogram"/>
        <s v="pre_HeadSonogramDate"/>
        <s v="pre_HeadSonogramTime"/>
        <s v="pre_HeadSonogramResult1"/>
        <s v="pre_HeadSonogramResultText"/>
        <s v="pre_HeadCT"/>
        <s v="pre_HeadCTDate"/>
        <s v="pre_HeadCTTime"/>
        <s v="pre_HeadCTResult1"/>
        <s v="pre_HeadCTResultText"/>
        <s v="pre_BrainMRI"/>
        <s v="pre_BrainMRIDate"/>
        <s v="pre_BrainMRITime"/>
        <s v="pre_BrainMRIResult1"/>
        <s v="pre_BrainMRIResultText"/>
        <s v="pre_NeuroExam"/>
        <s v="pre_NoNeuroExamReason"/>
        <s v="pre_NeuroExamSignModerateSevereHIE3Category"/>
        <s v="pre_NeuroExamLevelConsciousness"/>
        <s v="pre_NeuroExamSpontaneousActivity"/>
        <s v="pre_NeuroExamPosture"/>
        <s v="pre_NeuroExamTone"/>
        <s v="pre_NeuroExamSuck"/>
        <s v="pre_NeuroExamMoro"/>
        <s v="pre_NeuroExamPupils"/>
        <s v="pre_NeuroExamHeartRate"/>
        <s v="pre_NeuroExamRespiration"/>
        <s v="pre_NeuroExamDate"/>
        <s v="pre_NeuroExamTime"/>
        <s v="pre_NeuroExamSedate"/>
        <s v="pre_NeuroExamSeizure"/>
        <s v="pre_NeuroExamReflexScore"/>
        <s v="pre_NeuroExamANSScore"/>
        <s v="pre_TotalModifiedSarnatScore"/>
        <s v="temperatureTimeSlot_min"/>
        <s v="temperatureTimeSlotNoForm"/>
        <s v="temperatureDate"/>
        <s v="temperatureTime"/>
        <s v="skinTemperature_C"/>
        <s v="axillaryTemperature_C"/>
        <s v="esophagealTemperature_C"/>
        <s v="blanketTemperature_C"/>
        <s v="servoSetTemperature_C"/>
        <s v="alterationSkinIntegrity"/>
        <s v="shiver"/>
        <s v="cardioTimeSlot_min"/>
        <s v="cardioDate"/>
        <s v="cardioTime"/>
        <s v="cardioSystolicBloodPressure_mmHg"/>
        <s v="cardioDiastolicBloodPressure_mmHg"/>
        <s v="cardioHeartRate_BPM"/>
        <s v="cardioVolumeExpand"/>
        <s v="cardioInotropicAgent"/>
        <s v="cardioBloodTransfusion"/>
        <s v="cardioPlatelets"/>
        <s v="respiratoryTimeSlot_min"/>
        <s v="respiratoryDate"/>
        <s v="respiratoryTime"/>
        <s v="respiratorySupportType"/>
        <s v="respiratoryFiO2"/>
        <s v="respiratoryRate_Hz"/>
        <s v="respiratoryPIP_cmH2O"/>
        <s v="respiratoryMAP_cmH2O"/>
        <s v="respiratoryPEEP_cmH2O"/>
        <s v="bloodGasTimeSlot_min"/>
        <s v="bloodGasDate"/>
        <s v="bloodGasTime"/>
        <s v="bloodGasSrc"/>
        <s v="bloodGasPH"/>
        <s v="bloodGasPCO2_mmHg"/>
        <s v="bloodGasPO2_mmHg"/>
        <s v="bloodGasHCO3_mEqPerL"/>
        <s v="bloodGasBaseDeficit_mEqPerL"/>
        <s v="bloodGasPHCorrect"/>
        <s v="bloodGasPCO2Correct_mmHg"/>
        <s v="bloodGasPO2Correct_mmHg"/>
        <s v="bloodGasHCO3Correct_mEqPerL"/>
        <s v="bloodGasBaseDeficitCorrect_mEqPerL"/>
        <s v="hematology"/>
        <s v="hematologyTimeSlot_min"/>
        <s v="hematologyDate"/>
        <s v="hematologyTime"/>
        <s v="hematologyWBC_cPermuL"/>
        <s v="hematologyHemoglobin_gPerdL"/>
        <s v="hematologyPolymorphNeutrophils_cPermuL"/>
        <s v="hematologyMonocytes_cPermuL"/>
        <s v="hematologyLymphocytes_cPermuL"/>
        <s v="hematologyPlatelet_cPermuL"/>
        <s v="hematologyPT_s"/>
        <s v="hematologyPTT_s"/>
        <s v="hematologyHematocritMin"/>
        <s v="hematologyHematocritMinDate"/>
        <s v="hematologyPlateletMin_cPermuL"/>
        <s v="hematologyPlateletMin_cPermuLDate"/>
        <s v="bloodValueBunBaseline_mgPerdL"/>
        <s v="bloodValueBunBaseline_mgPerdLDate"/>
        <s v="bloodValueCreatinineBaseline_mgPerdL"/>
        <s v="bloodValueCreatinineBaseline_mgPerdLDate"/>
        <s v="bloodValueASTSGOTBaseline_UPerL"/>
        <s v="bloodValueASTSGOTBaseline_UPerLDate"/>
        <s v="bloodValueALTSGPTBaseline_UPerL"/>
        <s v="bloodValueALTSGPTBaseline_UPerLDate"/>
        <s v="bloodValueTotalBilirubinBaseline_mgPerdL"/>
        <s v="bloodValueTotalBilirubinBaseline_mgPerdLDate"/>
        <s v="bloodValuePHMin"/>
        <s v="bloodValuePHMinDate"/>
        <s v="bloodValueHCO3Min_mEqPerL"/>
        <s v="bloodValueHCO3Min_mEqPerLDate"/>
        <s v="bloodValueSerumNaMin_mEqPerL"/>
        <s v="bloodValueSerumNaMin_mEqPerLDate"/>
        <s v="bloodValueSerumKMin_mEqPerL"/>
        <s v="bloodValueSerumKMin_mEqPerLDate"/>
        <s v="bloodValueClMin_mEqPerL"/>
        <s v="bloodValueClMin_mEqPerLDate"/>
        <s v="bloodValueGlucoseMin_mgPerdL"/>
        <s v="bloodValueGlucoseMin_mgPerdLDate"/>
        <s v="bloodValueTotalCaMin_mgPerdL"/>
        <s v="bloodValueTotalCaMin_mgPerdLDate"/>
        <s v="bloodValueIonCaMin_mgPerdL"/>
        <s v="bloodValueIonCaMin_mgPerdLDate"/>
        <s v="bloodValueASTSGOTMin_UPerL"/>
        <s v="bloodValueASTSGOTMin_UPerLDate"/>
        <s v="bloodValueALTSGPTMin_UPerL"/>
        <s v="bloodValueALTSGPTMin_UPerLDate"/>
        <s v="bloodValueTotalBilirubinMin_mgPerdL"/>
        <s v="bloodValueTotalBilirubinMin_mgPerdLDate"/>
        <s v="bloodValuePHMax"/>
        <s v="bloodValuePHMaxDate"/>
        <s v="bloodValueBaseDeficitMax_mEqPerL"/>
        <s v="bloodValueBaseDeficitMax_mEqPerLDate"/>
        <s v="bloodValueSerumNaMax_mEqPerL"/>
        <s v="bloodValueSerumNaMax_mEqPerLDate"/>
        <s v="bloodValueSerumKMax_mEqPerL"/>
        <s v="bloodValueSerumKMax_mEqPerLDate"/>
        <s v="bloodValueClMax_mEqPerL"/>
        <s v="bloodValueClMax_mEqPerLDate"/>
        <s v="bloodValueBunMax_mgPerdL"/>
        <s v="bloodValueBunMax_mgPerdLDate"/>
        <s v="bloodValueCreatinineMax_mgPerdL"/>
        <s v="bloodValueCreatinineMax_mgPerdLDate"/>
        <s v="bloodValueGlucoseMax_mgPerdL"/>
        <s v="bloodValueGlucoseMax_mgPerdLDate"/>
        <s v="bloodValueTotalCaMax_mgPerdL"/>
        <s v="bloodValueTotalCaMax_mgPerdLDate"/>
        <s v="bloodValueIonCaMax_mgPerdL"/>
        <s v="bloodValueIonCaMax_mgPerdLDate"/>
        <s v="bloodValueASTSGOTMax_UPerL"/>
        <s v="bloodValueASTSGOTMax_UPerLDate"/>
        <s v="bloodValueALTSGPTMax_UPerL"/>
        <s v="bloodValueALTSGPTMax_UPerLDate"/>
        <s v="bloodValueTotalBilirubinMax_mgPerdL"/>
        <s v="bloodValueTotalBilirubinMax_mgPerdLDate"/>
        <s v="positiveCultureNumber"/>
        <s v="positiveCulture"/>
        <s v="positiveCultureSrc"/>
        <s v="positiveCultureDate"/>
        <s v="positiveCultureTime"/>
        <s v="positiveCultureOrganismCode1"/>
        <s v="antibiotics"/>
        <s v="antibioticsCode1"/>
        <s v="rewarmingAntibiotics"/>
        <s v="rewarmingAntibioticsCode1"/>
        <s v="otherMedTimeSlot_min"/>
        <s v="otherMedTargetDate"/>
        <s v="otherMedTargetTime"/>
        <s v="anticonvulsants1"/>
        <s v="analgesicsSedatives1"/>
        <s v="antipyretics1"/>
        <s v="paralytics1"/>
        <s v="otherMedFluidIntake_ccPerKg"/>
        <s v="otherMedUrineOutput_ccPerKg"/>
        <s v="imagingNumber"/>
        <s v="headSonogram"/>
        <s v="headSonogramDate"/>
        <s v="headSonogramTime"/>
        <s v="headSonogramResult1"/>
        <s v="headSonogramResultText"/>
        <s v="headCT"/>
        <s v="headCTDate"/>
        <s v="headCTTime"/>
        <s v="headCTResult1"/>
        <s v="headCTResultText"/>
        <s v="brainMRI"/>
        <s v="brainMRIDate"/>
        <s v="brainMRITime"/>
        <s v="brainMRIResult1"/>
        <s v="brainMRIResultText"/>
        <s v="elevatedTempNumber"/>
        <s v="elevatedTempMin"/>
        <s v="elevatedTempDate"/>
        <s v="elevatedTempTime"/>
        <s v="elevatedTempSkinTemperature_C"/>
        <s v="elevatedTempAxillaryTemperature_C"/>
        <s v="elevatedTempEsophagealTemperature_C"/>
        <s v="elevatedTempServoSet_C"/>
        <s v="elevatedTempDevice"/>
        <s v="elevatedTempDeviceMode"/>
        <s v="elevatedTempAirTemperature_C"/>
        <s v="elevatedTempBath"/>
        <s v="elevatedTempNoBathReason"/>
        <s v="elevatedTempBlanketrol"/>
        <s v="fluctuateTempNumber"/>
        <s v="fluctuateTempMin"/>
        <s v="fluctuateTempDate"/>
        <s v="fluctuateTempTime"/>
        <s v="fluctuateTempSkinTemperature_C"/>
        <s v="fluctuateTempAxillaryTemperature_C"/>
        <s v="fluctuateTempEsophagealTemperature_C"/>
        <s v="fluctuateTempBlanketrol_C"/>
        <s v="fluctuateTempServoSet_C"/>
        <s v="bradycardiaEventNumber"/>
        <s v="bradycardiaLess70Greater15min"/>
        <s v="bradycardiaEKG"/>
        <s v="bradycardiaEKGResult"/>
        <s v="bradycardiaEKGResultOtherText"/>
        <s v="bradycardiaAntiarrhythmiaMedication"/>
        <s v="bradycardiaDate"/>
        <s v="bradycardiaTime"/>
        <s v="bradycardiaDuration"/>
        <s v="bradycardiaHeartRateMin"/>
        <s v="adverseEventNumber"/>
        <s v="SAECardiacExperienceOnsetDate"/>
        <s v="SAECardiacExperienceOnsetTime"/>
        <s v="SAECardiacExperienceResolveDate"/>
        <s v="SAECardiacExperienceResolveTime"/>
        <s v="SAECardiacExperienceDueToHypothermia"/>
        <s v="SAECardiacExperienceActionTaken"/>
        <s v="SAECardiacExperienceOutcome"/>
        <s v="SAECardiacExperienceComment"/>
        <s v="SAEMetabolicAcidosisOnsetDate"/>
        <s v="SAEMetabolicAcidosisOnsetTime"/>
        <s v="SAEMetabolicAcidosisResolveDate"/>
        <s v="SAEMetabolicAcidosisResolveTime"/>
        <s v="SAEMetabolicAcidosisDueToHypothermia"/>
        <s v="SAEMetabolicAcidosisActionTaken"/>
        <s v="SAEMetabolicAcidosisOutcome"/>
        <s v="SAEMetabolicAcidosisComment"/>
        <s v="SAEThrombosisExperienceOnsetDate"/>
        <s v="SAEThrombosisExperienceOnsetTime"/>
        <s v="SAEThrombosisExperienceResolveDate"/>
        <s v="SAEThrombosisExperienceResolveTime"/>
        <s v="SAEThrombosisExperienceDueToHypothermia"/>
        <s v="SAEThrombosisExperienceActionTaken"/>
        <s v="SAEThrombosisExperienceOutcome"/>
        <s v="SAEThrombosisExperienceComment"/>
        <s v="SAEBleedingExperienceOnsetDate"/>
        <s v="SAEBleedingExperienceOnsetTime"/>
        <s v="SAEBleedingExperienceResolveDate"/>
        <s v="SAEBleedingExperienceResolveTime"/>
        <s v="SAEBleedingExperienceDueToHypothermia"/>
        <s v="SAEBleedingExperienceActionTaken"/>
        <s v="SAEBleedingExperienceOutcome"/>
        <s v="SAEBleedingExperienceComment"/>
        <s v="SAEAlterationSkinIntegrity"/>
        <s v="SAEAlterationSkinIntegrityOnsetDate"/>
        <s v="SAEAlterationSkinIntegrityResolveDate"/>
        <s v="SAEAlterationSkinIntegrityDueToHypothermia"/>
        <s v="SAEAlterationSkinIntegrityActionTaken"/>
        <s v="SAEAlterationSkinIntegrityOutcome"/>
        <s v="SAEAlterationSkinIntegrityComment"/>
        <s v="SAEDeathDate"/>
        <s v="SAEDeathTime"/>
        <s v="SAEDeathDueToHypothermia"/>
        <s v="SAEDeathActionTaken"/>
        <s v="SAEDeathOutcome"/>
        <s v="SAEDeathComment"/>
        <s v="SAEOther"/>
        <s v="SAEOtherOnsetDate"/>
        <s v="SAEOtherOnsetTime"/>
        <s v="SAEOtherResolveDate"/>
        <s v="SAEOtherResolveTime"/>
        <s v="SAEOtherDueToHypothermia"/>
        <s v="SAEOtherActionTaken"/>
        <s v="SAEOtherOutcome"/>
        <s v="SAEOtherComment"/>
        <s v="violationNumber"/>
        <s v="violationDate"/>
        <s v="violationNature"/>
        <s v="violationTreatmentAssign"/>
        <s v="violationTreatmentReceive"/>
        <s v="violationOtherText"/>
        <s v="violationCircumstance"/>
        <s v="violationOtherCirumstanceText"/>
        <s v="violationComment"/>
        <s v="interruptNumber"/>
        <s v="interrupt"/>
        <s v="interruptReason"/>
        <s v="interruptReasonText"/>
        <s v="interruptDate"/>
        <s v="interruptTime"/>
        <s v="interruptRestartDate"/>
        <s v="interruptRestartTime"/>
        <s v="interruptRestartEsophagealTemperature_C"/>
        <s v="discontinueDate"/>
        <s v="discontinueTime"/>
        <s v="discontinueBeforeEndPeriod"/>
        <s v="discontinueParentsWithdraw"/>
        <s v="discontinuePhysicianWithdraw"/>
        <s v="discontinueAdverseEvent"/>
        <s v="discontinueECMO"/>
        <s v="discontinueDNR"/>
        <s v="discontinueWdrawSupport"/>
        <s v="discontinueDeath"/>
        <s v="discontinueOther"/>
        <s v="discontinueOtherText"/>
        <s v="post_TemperatureTimeSlot_day"/>
        <s v="post_TemperatureDate"/>
        <s v="post_TemperatureTime"/>
        <s v="post_SkinTemperature_C"/>
        <s v="post_AxillaryTemperature_C"/>
        <s v="post_AlterationSkinIntegrity"/>
        <s v="post_Shiver"/>
        <s v="normothermiaAtEndIntervention"/>
        <s v="normothermiaDate"/>
        <s v="normothermiaTime"/>
        <s v="normothermiaAxillaryTemperature_C"/>
        <s v="noNormothermiaReason"/>
        <s v="coolAfterIntervention"/>
        <s v="coolAfterInterventionText"/>
        <s v="post_BloodValueASTSGOT_UPerL"/>
        <s v="post_BloodValueASTSGOT_UPerLDate"/>
        <s v="post_BloodValueALTSGPT_UPerL"/>
        <s v="post_BloodValueALTSGPT_UPerLDate"/>
        <s v="post_BloodValueTotalBilirubin_mgPerdL"/>
        <s v="post_BloodValueTotalBilirubin_mgPerdLDate"/>
        <s v="post_HeadSonogram"/>
        <s v="post_HeadSonogramDate"/>
        <s v="post_HeadSonogramTime"/>
        <s v="post_HeadSonogramResult1"/>
        <s v="post_HeadSonogramResultText"/>
        <s v="post_HeadCT"/>
        <s v="post_HeadCTDate"/>
        <s v="post_HeadCTTime"/>
        <s v="post_HeadCTResult1"/>
        <s v="post_HeadCTResultText"/>
        <s v="post_BrainMRI"/>
        <s v="post_BrainMRIDate"/>
        <s v="post_BrainMRITime"/>
        <s v="post_BrainMRIResult1"/>
        <s v="post_BrainMRIResultText"/>
        <s v="post_NeuroExamDate"/>
        <s v="post_NeuroExamTime"/>
        <s v="post_NeuroExamLevelConsciousness"/>
        <s v="post_NeuroExamSpontaneousActivity"/>
        <s v="post_NeuroExamPosture"/>
        <s v="post_NeuroExamTone"/>
        <s v="post_NeuroExamSuck"/>
        <s v="post_NeuroExamMoro"/>
        <s v="post_NeuroExamPupils"/>
        <s v="post_NeuroExamHeartRate"/>
        <s v="post_NeuroExamRespiration"/>
        <s v="post_NeuroExamSeizure"/>
        <s v="post_NeuroExamSedate"/>
        <s v="post_NeuroExamClonusSustained"/>
        <s v="post_NeuroExamFistedHand"/>
        <s v="post_NeuroExamAbnormalMovement"/>
        <s v="post_NeuroExamGagReflexAbsent"/>
        <s v="post_NeuroExamHypertonia"/>
        <s v="post_NeuroExamAsymTonicNeckReflex"/>
        <s v="post_NeuroExamReflexScore"/>
        <s v="post_NeuroExamANSScore"/>
        <s v="post_TotalModifiedSarnatScore"/>
        <s v="siteID"/>
        <s v="MRIIncrement"/>
        <s v="MRIID"/>
        <s v="MRIStrength_T"/>
        <s v="MRIAdequateQuality"/>
        <s v="MRIT1Axial"/>
        <s v="MRIT1Coronal"/>
        <s v="MRIT1Sagittal"/>
        <s v="MRIT1"/>
        <s v="MRIT2Axial"/>
        <s v="MRIT2Coronal"/>
        <s v="MRIT2Sagittal"/>
        <s v="MRIT2"/>
        <s v="MRIT2FLAIRAxial"/>
        <s v="MRIT2FLAIRCoronal"/>
        <s v="MRIT2FLAIRSagittal"/>
        <s v="MRIT2FLAIR"/>
        <s v="MRIGRESWIAxial"/>
        <s v="MRIGRESWICoronal"/>
        <s v="MRIGRESWISagittal"/>
        <s v="MRIGRESWI"/>
        <s v="MRISPGRAxial"/>
        <s v="MRISPGRCoronal"/>
        <s v="MRISPGRSagittal"/>
        <s v="MRISPGR"/>
        <s v="MRIDWI"/>
        <s v="MRIADC"/>
        <s v="MRIMRS"/>
        <s v="MRIOther"/>
        <s v="MRIOtherText"/>
        <s v="MRIOverallDiagnosis"/>
        <s v="MRIOverallDiagnosisText"/>
        <s v="MRIAbnormal"/>
        <s v="MRICerebralAtrophy"/>
        <s v="MRICerebralAtrophyGlobalLocal"/>
        <s v="MRICerebralAtrophyRegion"/>
        <s v="MRICerebralAtrophyQualAssessCC"/>
        <s v="MRICerebralAtrophyQualAssessVDLeft"/>
        <s v="MRICerebralAtrophyQualAssessVDRight"/>
        <s v="MRIInfarction"/>
        <s v="MRIInfarctionArterialTerritoryLeft"/>
        <s v="MRIInfarctionArterialTerritoryRight"/>
        <s v="MRIInfarctionWatershedLeft"/>
        <s v="MRIInfarctionWatershedRight"/>
        <s v="MRIMidlineShift"/>
        <s v="MRIBGT"/>
        <s v="MRIPLIC"/>
        <s v="MRIALIC"/>
        <s v="MRIWatershed"/>
        <s v="MRIWhiteMatterInjury"/>
        <s v="MRIFocalCorticalInjury"/>
        <s v="MRINRNPatternOfInjuryExtent"/>
        <s v="MRINRNPatternOfInjuryLateral"/>
        <s v="MRIComment"/>
        <s v="MRINRNPatternOfInjury"/>
        <s v="MRIAvailable"/>
        <s v="MRIObtain"/>
        <s v="MRIObtainWindow"/>
        <s v="MRIObtainComment"/>
        <s v="MRINoObtainReason"/>
        <s v="MRINoObtainReasonText"/>
        <s v="MRIRead"/>
        <s v="MRIScore"/>
        <s v="MRI2LevelPatternOfInjury"/>
        <s v="MRIAge_day"/>
        <s v="MRIOverallDiagnosisMerge"/>
        <s v="MRINotDone"/>
        <s v="MRIUnread"/>
        <s v="MRIAnalysis"/>
        <s v="MRIAbnormalResult"/>
        <s v="MRINRNPatternOfInjuryWSvsBGTPLIC"/>
        <s v="MRICerebralLesion"/>
        <s v="MRICerebellarLesion"/>
        <s v="MRIBasalGangliaLesion"/>
        <s v="MRIBrainstemLesion"/>
        <s v="MRICorpusCallosumLesion"/>
        <s v="MRICerebralLesionLobe"/>
        <s v="MRICoronaRadiataLesion"/>
        <s v="MRIEdema"/>
        <s v="MRIExtraAxialLesion"/>
        <s v="MRIExtent"/>
        <s v="MRIFrontalParietalLesion"/>
        <s v="MRIFrontalLesion"/>
        <s v="MRILateralHemisphericDevastation"/>
        <s v="MRIHippocampusLesion"/>
        <s v="MRIHypothalamusLesion"/>
        <s v="MRIInsularLesion"/>
        <s v="MRILateralityMerge"/>
        <s v="MRIBGTMerge"/>
        <s v="MRIPLICMerge"/>
        <s v="MRIWatershedMerge"/>
        <s v="MRIWhiteMatterInjuryMerge"/>
        <s v="MRIDate"/>
        <s v="MRIOccipitalLesion"/>
        <s v="MRITime"/>
        <s v="MRIOpticChiasmLesion"/>
        <s v="MRIOtherLesion"/>
        <s v="MRIOtherCerebralLesion"/>
        <s v="MRIParasagittalLesion"/>
        <s v="MRIParietalLesion"/>
        <s v="MRIPreirolandicLesion"/>
        <s v="MRIPerisylvianLesion"/>
        <s v="MRIPituitaryLesion"/>
        <s v="MRIParietalOccipitalLesion"/>
        <s v="MRIParietalTemporalLesion"/>
        <s v="MRIScalpLesion"/>
        <s v="MRIThalamusLesion"/>
        <s v="MRITemporalLesion"/>
        <s v="MRITemporalOccipitalLesion"/>
        <s v="MRICerebralAtrophyMerge"/>
        <s v="MRICerebralAtrophyQualAssessCCMerge"/>
        <s v="MRICerebralAtrophyGlobalLocalMerge"/>
        <s v="MRIVascularTerritoryInfarctionMerge"/>
        <s v="MRIVascularTerritoryInfarctionLeftMerge"/>
        <s v="MRIVascularTerritoryInfarctionRightMerge"/>
        <s v="MRIHemisphericDevastation"/>
        <s v="MRIVentricularDilatation"/>
        <s v="MRIVascularLesion"/>
        <s v="MRIIntraventricularLesion"/>
        <s v="MRINRNPatternOfInjuryAvg"/>
        <s v="MRINRNPatternOfInjuryMax"/>
        <s v="status"/>
        <s v="statusDate"/>
        <s v="dischargeDate"/>
        <s v="dischargeWeight_g"/>
        <s v="dischargeLength_cm"/>
        <s v="dischargeHeadCircumference_cm"/>
        <s v="transferReason"/>
        <s v="transferDate"/>
        <s v="transferWeight_g"/>
        <s v="transferLength_cm"/>
        <s v="transferHeadCircumference_cm"/>
        <s v="transferOutcome"/>
        <s v="deathDate"/>
        <s v="deathTime"/>
        <s v="deathAge_day"/>
        <s v="deathAutopsy"/>
        <s v="deathCause"/>
        <s v="deathCauseText"/>
        <s v="deathSrc"/>
        <s v="lengthOfStay_day"/>
        <s v="dischargeCardiomegaly"/>
        <s v="dischargeCardiacFailure"/>
        <s v="dischargeCardiacDysfunctionByEcho"/>
        <s v="dischargeCardiacIschemiaByEKG"/>
        <s v="dischargeHypotension"/>
        <s v="dischargeArrhythmia"/>
        <s v="dischargeInotropicAgent"/>
        <s v="dischargeMeconiumAspirationSyndrome"/>
        <s v="dischargePPHN"/>
        <s v="dischargePulmonaryHemorrhage"/>
        <s v="dischargePenumonia"/>
        <s v="dischargeChronicLungDisease"/>
        <s v="dischargeECMO"/>
        <s v="dischargeINO"/>
        <s v="dischargeVentilator_day"/>
        <s v="dischargeOxygen_day"/>
        <s v="dischargeCPAP_day"/>
        <s v="dischargePulmonaryStartDate1"/>
        <s v="dischargePulmonaryStartTime1"/>
        <s v="dischargePulmonaryEndDate1"/>
        <s v="dischargePulmonaryEndTime1"/>
        <s v="dischargeDIC"/>
        <s v="dischargeHypoglycemia"/>
        <s v="dischargeHypocalcemia"/>
        <s v="dischargeHypomagnesemia"/>
        <s v="dischargeOliguria"/>
        <s v="dischargeAnuria"/>
        <s v="dischargeDialysis"/>
        <s v="dischargeEnteralFeedStart_day"/>
        <s v="dischargeTubeFeedingDuration_day"/>
        <s v="dischargeFullNippleFeed"/>
        <s v="dischargeFullNippleFeed_day"/>
        <s v="dischargeNEC"/>
        <s v="dischargeHepaticDysfunction"/>
        <s v="dischargeAlteredSkinItegrityPostIntervention"/>
        <s v="dischargeErythema"/>
        <s v="dischargeErythemaOnsetDate"/>
        <s v="dischargeErythemaResolveDate"/>
        <s v="dischargeSclerema"/>
        <s v="dischargeScleremaOnsetDate"/>
        <s v="dischargeScleremaResolveDate"/>
        <s v="dischargeCyanosis"/>
        <s v="dischargeCyanosisOnsetDate"/>
        <s v="dischargeCyanosisResolveDate"/>
        <s v="dischargeSubFatNecrosis"/>
        <s v="dischargeSubFatNecrosisOnsetDate"/>
        <s v="dischargeSubFatNecrosisResolveDate"/>
        <s v="dischargeHearingTest"/>
        <s v="dischargeHearingTestNormal"/>
        <s v="dischargeMajorSurgery"/>
        <s v="dischargeSurgeryCode1"/>
        <s v="dischargeSepticemia"/>
        <s v="dischargeSepticemiaOrganismCode1"/>
        <s v="dischargeMeningitisEncephalitis"/>
        <s v="dischargeMeningitisOrganismCode1"/>
        <s v="dischargeNeuroExamDate"/>
        <s v="dischargeNeuroExamTime"/>
        <s v="dischargeNeuroExamLevelConsciousness"/>
        <s v="dischargeNeuroExamSpontaneousActivity"/>
        <s v="dischargeNeuroExamPosture"/>
        <s v="dischargeNeuroExamTone"/>
        <s v="dischargeNeuroExamSuck"/>
        <s v="dischargeNeuroExamMoro"/>
        <s v="dischargeNeuroExamPupils"/>
        <s v="dischargeNeuroExamHeartRate"/>
        <s v="dischargeNeuroExamRespiration"/>
        <s v="dischargeNeuroExamSeizure"/>
        <s v="dischargeNeuroExamClonusSustained"/>
        <s v="dischargeNeuroExamFistedHand"/>
        <s v="dischargeNeuroExamAbnormalMovement"/>
        <s v="dischargeNeuroExamGagReflexAbsent"/>
        <s v="dischargeNeuroExamSedate"/>
        <s v="dischargeNeuroExamHypertonia"/>
        <s v="dischargeNeuroExamAsymTonicNeckReflex"/>
        <s v="dischargeNeuroExamReflexScore"/>
        <s v="dischargeNeuroExamANSScore"/>
        <s v="dischargeTotalModifiedSarnatScore"/>
        <s v="dischargeSeizure"/>
        <s v="dischargeSeizurePreIntervention"/>
        <s v="dischargeSeizureAfterBaseline"/>
        <s v="dischargeSeizureMaintenance"/>
        <s v="dischargeSeizureRewarming"/>
        <s v="dischargeSeizurePostIntervention"/>
        <s v="dischargeEEG"/>
        <s v="dischargeEEGFindingConsistentWithSeizure"/>
        <s v="dischargeEEGFindingConsistentWithSeizureDate"/>
        <s v="dischargeEEGFindingConsistentWithSeizureTime"/>
        <s v="dischargeEEGAbnormalBackgroundActivity"/>
        <s v="dischargeEEGAbnormalBackgroundActivityDate"/>
        <s v="dischargeEEGAbnormalBackgroundActivityTime"/>
        <s v="dischargeAnticonvulsantsGreater72H"/>
        <s v="dischargeAnticonvulsants"/>
        <s v="dischargeSyndromeMalformation"/>
        <s v="dischargeBirthDefectCode1"/>
        <s v="dischargeHomeTherapy"/>
        <s v="dischargeHomeTherapyVentilator"/>
        <s v="dischargeHomeTherapyOxygen"/>
        <s v="dischargeHomeTherapyGavageTubeFeed"/>
        <s v="dischargeHomeTherapyGastrostomyTubeFeed"/>
        <s v="dischargeHomeTherapyTemperatureBlanket"/>
        <s v="dischargeHomeTherapyAnticonvulsantMedication"/>
        <s v="dischargeHomeTherapyOther"/>
        <s v="dischargeHomeTherapyOtherText"/>
        <s v="wdrawSupport"/>
        <s v="wdrawSupportDate"/>
        <s v="wdrawSupportTime"/>
        <s v="wdrawSupportDiscussedWithFamily"/>
        <s v="wdrawSupportRecommendSolelyByClinicalTeam"/>
        <s v="wdrawSupportNeurologicalExam"/>
        <s v="wdrawSupportImagingStudy"/>
        <s v="wdrawSupportEEGFinding"/>
        <s v="wdrawSupportMultisystemOrganFailureOtherThanCNS"/>
        <s v="wdrawSupportBrainBloodFlowScan"/>
        <s v="wdrawSupportParentWish"/>
        <s v="wdrawSupportOther"/>
        <s v="wdrawSupportOtherText"/>
        <s v="limitCareDiscussedWithFamily"/>
        <s v="limitCareRecommendSolelyByClinicalTeam"/>
        <s v="limitCareAgreedByFamilyAndCareTeam"/>
        <s v="limitCareNoFurtherMechanicalVentilationAndIntubation"/>
        <s v="limitCareNoFurtherVentilationWithBagAndMask"/>
        <s v="limitCareNoFurtherMedicationsToSupportBP"/>
        <s v="limitCareNoFurtherChestCompression"/>
        <s v="limitCareNoFurtherEmergencyMedication"/>
        <s v="limitCareDNR"/>
        <s v="limitCareDNRDate"/>
        <s v="limitCareDNRTime"/>
        <s v="SESVisitDate"/>
        <s v="SESBirthDate"/>
        <s v="chronologicalAge_mo"/>
        <s v="correctedAge_mo"/>
        <s v="underStateSupervision"/>
        <s v="primaryCaretaker"/>
        <s v="otherCaretaker"/>
        <s v="maritalStatusPrimaryCaretaker"/>
        <s v="livingArrangementChild"/>
        <s v="numberPeopleInChildHousehold"/>
        <s v="otherContributeMoneyToChildHousehold"/>
        <s v="educationPrimaryCaretaker"/>
        <s v="educationOtherCaretaker"/>
        <s v="workPrimaryCaretaker"/>
        <s v="workOtherCaretaker"/>
        <s v="inSchoolPrimaryCaretaker"/>
        <s v="inSchoolOtherCaretaker"/>
        <s v="totalIncomeChildHousehold"/>
        <s v="medicalInsuranceChild"/>
        <s v="primaryLanguageChild"/>
        <s v="primaryLanguageChildOtherText"/>
        <s v="isSecondaryLanguageChild"/>
        <s v="secondaryLanguageChild"/>
        <s v="secondaryLanguageChildOtherText"/>
        <s v="numberPlaceChildLive"/>
        <s v="zipcode"/>
        <s v="visitingNurseReceive"/>
        <s v="visitingNurseNeed"/>
        <s v="homeNurseReceive"/>
        <s v="homeNurseNeed"/>
        <s v="otPtReceive"/>
        <s v="otPtNeed"/>
        <s v="speechTherapyReceive"/>
        <s v="speechTherapyNeed"/>
        <s v="earlyInterventionReceive"/>
        <s v="earlyInterventionNeed"/>
        <s v="socialWorkForChildReceive"/>
        <s v="socialWorkForChildNeed"/>
        <s v="specialClinicReceive"/>
        <s v="specialClinicNeed"/>
        <s v="pulmonaryReceive"/>
        <s v="pulmonaryNeed"/>
        <s v="ophthalmologicReceive"/>
        <s v="ophthalmologicNeed"/>
        <s v="gastrointestinalReceive"/>
        <s v="gastrointestinalNeed"/>
        <s v="audiologicReceive"/>
        <s v="audiologicNeed"/>
        <s v="neurologicReceive"/>
        <s v="neurologicNeed"/>
        <s v="otherReceive"/>
        <s v="otherNeed"/>
        <s v="otherNeedText"/>
        <s v="neurodevelopmentReceive"/>
        <s v="neurodevelopmentNeed"/>
        <s v="prematureFollowupClinicReceive"/>
        <s v="prematureFollowupClinicNeed"/>
        <s v="regularDoctor"/>
        <s v="resideChronicCareFacility"/>
        <s v="takenCareOfByOther"/>
        <s v="traditionalCenterCare"/>
        <s v="traditionalCenterCareAvgHrPerWeek"/>
        <s v="medicalChildCare"/>
        <s v="medicalChildCareAvgHrPerWeek"/>
        <s v="medicalChildCareWhere"/>
        <s v="traditionalHomeCare"/>
        <s v="traditionalHomeCareAvgHrPerWeek"/>
        <s v="traditionalHomeCareWhose"/>
        <s v="babysitter"/>
        <s v="babysitterAvgHrPerWeek"/>
        <s v="babysitterRelation"/>
        <s v="SESInterviewWhere"/>
        <s v="SESInterviewDate"/>
        <s v="rehospitalize"/>
        <s v="numberRehospitalize"/>
        <s v="operation"/>
        <s v="operationTypanostomyTube"/>
        <s v="operationTracheostomy"/>
        <s v="operationEyeSurgery"/>
        <s v="operationEyeSurgeryReason"/>
        <s v="operationHerniaSurgery"/>
        <s v="operationGastrostomyTube"/>
        <s v="operationFundoplication"/>
        <s v="operationShuntForHydrocephalus"/>
        <s v="operationReanastomosisOfLargeOrSmallIntenstine"/>
        <s v="operationPDALigation"/>
        <s v="operationBrochoscopy"/>
        <s v="operationHypospadiusRepair"/>
        <s v="operationOther"/>
        <s v="operationOtherText"/>
        <s v="medication"/>
        <s v="vitaminMineralSupplement"/>
        <s v="highCaloricFormula"/>
        <s v="diuretics"/>
        <s v="antiRefluxMedication"/>
        <s v="bronchodilator"/>
        <s v="inhaledSteroid"/>
        <s v="oralIvSteroid"/>
        <s v="otherAsthmaMedication"/>
        <s v="decongestantColdAllergyMedication"/>
        <s v="anticonvulsantMedication"/>
        <s v="prophylaticAntibiotics"/>
        <s v="constipationMedication"/>
        <s v="bloodPressureMedication"/>
        <s v="thyroidMedication"/>
        <s v="muscleRelaxants"/>
        <s v="botox"/>
        <s v="otherMedication"/>
        <s v="otherMedicationText"/>
        <s v="seizure"/>
        <s v="medicalEquipmentHomeUse"/>
        <s v="apneaMonitor"/>
        <s v="oxygen"/>
        <s v="ventilatorCPAP"/>
        <s v="gastrostomyTube"/>
        <s v="tracheostomy"/>
        <s v="pulseOximeter"/>
        <s v="fluShot"/>
        <s v="RSVProphylaxis"/>
        <s v="independentFeedSelf"/>
        <s v="assistedEatByMouth"/>
        <s v="tubeFeed"/>
        <s v="TPN"/>
        <s v="dietMilk"/>
        <s v="dietTableFood"/>
        <s v="dietSoftFood"/>
        <s v="dietLiquid"/>
        <s v="dietThickendLiquid"/>
        <s v="subcutaneousFatNecrosis"/>
        <s v="equipmentForStanding"/>
        <s v="adaptedStroller"/>
        <s v="bracesOrthotics"/>
        <s v="walker"/>
        <s v="stander"/>
        <s v="cornerChairTumblerForm"/>
        <s v="weight_kg"/>
        <s v="length_cm"/>
        <s v="headCircumference_cm"/>
        <s v="strabismusRight"/>
        <s v="strabismusLeft"/>
        <s v="nystagmusRight"/>
        <s v="nystagmusLeft"/>
        <s v="rovingEyeMovementRight"/>
        <s v="rovingEyeMovementLeft"/>
        <s v="eyeTrackRight"/>
        <s v="eyeTrackLeft"/>
        <s v="visionRight"/>
        <s v="visionLeft"/>
        <s v="audiologicAssessment"/>
        <s v="audiologicPendingForAssessment"/>
        <s v="visualReinforcementAudiometry"/>
        <s v="VRARight"/>
        <s v="VRALeft"/>
        <s v="VRASoundField"/>
        <s v="ABR"/>
        <s v="ABRRight"/>
        <s v="ABRLeft"/>
        <s v="hearingTestUnknown"/>
        <s v="hearingTestUnknownRight"/>
        <s v="hearingTestUnknownLeft"/>
        <s v="hearingImpaired"/>
        <s v="hearingAidRequirement"/>
        <s v="hearingImplant"/>
        <s v="swallowing"/>
        <s v="dysphagia"/>
        <s v="aspiration"/>
        <s v="abnormalVoice"/>
        <s v="drooling"/>
        <s v="nothingByMouth"/>
        <s v="observedAbnormalMovement"/>
        <s v="observedAbnormalMovementShortJerky"/>
        <s v="observedAbnormalMovementSlowWrithing"/>
        <s v="observedAbnormalMovementTremor"/>
        <s v="passiveMuscleToneNeckTrunk"/>
        <s v="upperExtremityMuscleToneRight"/>
        <s v="upperExtremityMuscleToneLeft"/>
        <s v="lowerExtremityMuscleToneHipKneeRight"/>
        <s v="lowerExtremityMuscleToneHipKneeLeft"/>
        <s v="lowerExtremityMuscleToneAnkleRight"/>
        <s v="lowerExtremityMuscleToneAnkleLeft"/>
        <s v="scissoringLegs"/>
        <s v="handPreference"/>
        <s v="protectiveReaction"/>
        <s v="limbMovementUpperLimb"/>
        <s v="limbMovementLowerLimb"/>
        <s v="deepTendonReflexUpperExtremityRight"/>
        <s v="deepTendonReflexUpperExtremityLeft"/>
        <s v="deepTendonReflexKneeRight"/>
        <s v="deepTendonReflexKneeLeft"/>
        <s v="deepTendonReflexAnkleRight"/>
        <s v="deepTendonReflexAnkleLeft"/>
        <s v="ankleClonusRight"/>
        <s v="ankleClonusLeft"/>
        <s v="plantarReflexRight"/>
        <s v="plantarReflexLeft"/>
        <s v="axisHeadNeck"/>
        <s v="axisTrunk"/>
        <s v="lowerLimbFunction"/>
        <s v="upperLimbFunction"/>
        <s v="handFunctionRight"/>
        <s v="handFunctionLeft"/>
        <s v="neuralNormal"/>
        <s v="generalizedHypotonia"/>
        <s v="hypertonia"/>
        <s v="neuralOther"/>
        <s v="neuralOtherText"/>
        <s v="spasticDiplegia"/>
        <s v="spasticHemiplegiaRight"/>
        <s v="spasticHemiplegiaLeft"/>
        <s v="spasticQuadriplegia"/>
        <s v="spasticTriplegia"/>
        <s v="dystonia"/>
        <s v="athetosis"/>
        <s v="athetosisDystonia"/>
        <s v="hypotoniaAtaxia"/>
        <s v="spasticMonoplegia"/>
        <s v="mixedCerebralPalsy"/>
        <s v="cerebralPalsyUnclassified"/>
        <s v="cerebralPalsyUnclassifiedText"/>
        <s v="cerebralPalsy"/>
        <s v="cerebralPalsyClass"/>
        <s v="abrnomalityAffectingNeuroAssessment"/>
        <s v="abrnomalityAffectingNeuroAssessmentText"/>
        <s v="examWhere"/>
        <s v="examWhereOtherText"/>
        <s v="examQuality"/>
        <s v="examFactorAffecting"/>
        <s v="examFactorAffectingText"/>
        <s v="examCompleteDate"/>
        <s v="BayleyIIICognitiveSubtest"/>
        <s v="BayleyIIIReasonNoSuccessCognitiveSubtest"/>
        <s v="BayleyIIIReasonNoSuccessCognitiveSubtestText"/>
        <s v="BayleyIIILanguageReceptiveSubtest"/>
        <s v="BayleyIIIReasonNoSuccessLanguageReceptiveSubtest"/>
        <s v="BayleyIIIReasonNoSuccessLanguageReceptiveSubtestText"/>
        <s v="BayleyIIILanguageExpressiveSubtest"/>
        <s v="BayleyIIIReasonNoSuccessLanguageExpressiveSubtest"/>
        <s v="BayleyIIIReasonNoSuccessLanguageExpressiveSubtestText"/>
        <s v="BayleyIIIMotorFineSubtest"/>
        <s v="BayleyIIIReasonNoSuccessMotorFineSubtest"/>
        <s v="BayleyIIIReasonNoSuccessMotorFineSubtestText"/>
        <s v="BayleyIIIMotorGrossSubtest"/>
        <s v="BayleyIIIReasonNoSuccessMotorGrossSubtest"/>
        <s v="BayleyIIIReasonNoSuccessMotorGrossSubtestText"/>
        <s v="BayleyIIIAdjustedAgeForCognitiveTest"/>
        <s v="BayleyIIIAdjustedAgeForReceptiveCommunication"/>
        <s v="BayleyIIIAdjustedAgeForExpressiveCommunication"/>
        <s v="BayleyIIIAdjustedAgeForMotorFineSubtest"/>
        <s v="BayleyIIIAdjustedAgeForMotorGrossSubtest"/>
        <s v="BayleyIIICognitiveRaw"/>
        <s v="BayleyIIICognitiveScale"/>
        <s v="BayleyIIICognitiveComposite"/>
        <s v="BayleyIIIReceptiveRaw"/>
        <s v="BayleyIIIReceptiveScale"/>
        <s v="BayleyIIIExpressiveRaw"/>
        <s v="BayleyIIIExpressiveScale"/>
        <s v="BayleyIIISumLanguageScore"/>
        <s v="BayleyIIILanguageComposite"/>
        <s v="BayleyIIIMotorFineRaw"/>
        <s v="BayleyIIIMotorFineScale"/>
        <s v="BayleyIIIMotorGrossRaw"/>
        <s v="BayleyIIIMotorGrossScale"/>
        <s v="BayleyIIISumMotorScore"/>
        <s v="BayleyIIIMotorComposite"/>
        <s v="BayleyIIIInEnglish"/>
        <s v="BayleyIIIRequireInterpreter"/>
        <s v="BayleyIIIAdministratorMaskedToChildHistory"/>
        <s v="BayleyIIIWhere"/>
        <s v="BayleyIIIDate"/>
        <s v="grossMotorFunctionLevel"/>
        <s v="statusVisitDate"/>
        <s v="statusBirthDate"/>
        <s v="childFinalStatus"/>
        <s v="reasonLossFollowUp"/>
        <s v="firstVisitDate"/>
        <s v="finalVisitDate"/>
        <s v="readmissionNumber"/>
        <s v="readmissionTimePeriod"/>
        <s v="readmissionPrimaryCause"/>
        <s v="readmissionPrimaryCauseOtherText"/>
        <s v="readmissionLengthOfStay"/>
        <s v="readmissionICU"/>
        <s v="lostFollowUpInformationAvailableIndirectSrc"/>
        <s v="lostFollowUpLastContactDate"/>
        <s v="lostFollowUpFormCompleteDate"/>
        <s v="lostFollowUpChildAlive"/>
        <s v="lostFollowUpLastKnownAliveCorrectedAge_mo"/>
        <s v="lostFollowUpDeathDate"/>
        <s v="lostFollowUpInterview"/>
        <s v="lostFollowUpInterviewDate"/>
        <s v="lostFollowUpInterviewCorrectedAge_mo"/>
        <s v="lostFollowUpAnyQuestionCompleteChartReview"/>
        <s v="lostFollowUpChartReviewDate"/>
        <s v="lostFollowUpChartReviewCorrectedAge_mo"/>
        <s v="interviewChildHealth"/>
        <s v="interviewWalkAlone"/>
        <s v="interviewWalkAloneAge_mo"/>
        <s v="interviewSittingAlong"/>
        <s v="interviewHeadControl"/>
        <s v="interviewSee"/>
        <s v="interviewEyeExam"/>
        <s v="interviewNeedWearGlasses"/>
        <s v="interviewHear"/>
        <s v="interviewHearExam"/>
        <s v="interviewNeedWearHearingAid"/>
        <s v="interviewNumberWordVocabulary"/>
        <s v="interviewCombine2Words"/>
        <s v="interviewCombine3Words"/>
        <s v="interviewHydrocephalusShunt"/>
        <s v="interviewCerebralPalsy"/>
        <s v="interviewDevelopmentalDelay"/>
        <s v="interviewLanguageDelay"/>
        <s v="interviewPoorWeightGain"/>
        <s v="interviewSeizure"/>
        <s v="interviewBlindness"/>
        <s v="interviewOtherBehaviorProblem"/>
        <s v="interviewOtherBehaviorProblemText"/>
        <s v="interviewOtherMajorMedicalProblem"/>
        <s v="interviewOtherMajorMedicalProblemText"/>
        <s v="interviewOtherNeuraldevelopmentalProblem"/>
        <s v="interviewOtherNeuraldevelopmentalProblemText"/>
        <s v="interviewMotorGrossFunctionLevel"/>
        <s v="chartReviewEyeExam"/>
        <s v="chartReviewHearingExam"/>
        <s v="chartReviewNeedWearHearingAid"/>
        <s v="chartReviewHydrocephalusShunt"/>
        <s v="chartReviewCerebralPalsy"/>
        <s v="chartReviewDevelopmentalDelay"/>
        <s v="chartReviewLanguageDelay"/>
        <s v="chartReviewPoorWeightGain"/>
        <s v="chartReviewSeizure"/>
        <s v="chartReviewBlindness"/>
        <s v="chartReviewOtherBehaviorProblem"/>
        <s v="chartReviewOtherBehaviorProblemText"/>
        <s v="chartReviewOtherMajorMedicalProblem"/>
        <s v="chartReviewOtherMajorMedicalProblemText"/>
        <s v="chartReviewOtherNeuraldevelopmentalProblem"/>
        <s v="chartReviewOtherNeuraldevelopmentalProblemText"/>
        <s v="chartReviewMotorGrossFunctionLevel"/>
        <s v="blindness"/>
        <s v="moderateSevereCerebralPalsy"/>
        <s v="cerebralPalsyMerge"/>
        <s v="gastrostomyTube_b"/>
        <s v="grossMotorFunctionLevelSeverity"/>
        <s v="hearingImpairedWithAid"/>
        <s v="hearingImpairedLevel"/>
        <s v="multipleImpairment"/>
        <s v="afterDischargeSeizure"/>
        <s v="flagAdjudicatedOutcome"/>
        <s v="normalPrimaryOutcome"/>
        <s v="BayleyIIILanguage"/>
        <s v="BayleyIIIMotor"/>
        <s v="BayleyIIICognitive"/>
        <s v="deathBeforeFollowup"/>
        <s v="deathBeforeDischarge"/>
        <s v="disabilityLevelSurvivor"/>
        <s v="disabilityLevelDeath4Category"/>
        <s v="moderateSevereDisabilityOrDeath"/>
        <s v="moderateSevereDisabilitySurvivor"/>
        <s v="outcomeGroup"/>
        <s v="disabilityLevelDeath"/>
        <m/>
      </sharedItems>
    </cacheField>
    <cacheField name="with-value" numFmtId="0">
      <sharedItems containsString="0" containsBlank="1" containsNumber="1" containsInteger="1">
        <m/>
        <n v="532.0"/>
        <n v="48.0"/>
        <n v="95.0"/>
        <n v="269.0"/>
        <n v="168.0"/>
        <n v="364.0"/>
        <n v="504.0"/>
        <n v="162.0"/>
        <n v="506.0"/>
        <n v="481.0"/>
        <n v="108.0"/>
        <n v="0.0"/>
        <n v="531.0"/>
        <n v="363.0"/>
        <n v="10.0"/>
        <n v="529.0"/>
        <n v="530.0"/>
        <n v="362.0"/>
        <n v="13.0"/>
        <n v="528.0"/>
        <n v="527.0"/>
        <n v="495.0"/>
        <n v="409.0"/>
        <n v="405.0"/>
        <n v="370.0"/>
        <n v="64.0"/>
        <n v="165.0"/>
        <n v="116.0"/>
        <n v="85.0"/>
        <n v="525.0"/>
        <n v="519.0"/>
        <n v="430.0"/>
        <n v="240.0"/>
        <n v="126.0"/>
        <n v="509.0"/>
        <n v="380.0"/>
        <n v="377.0"/>
        <n v="464.0"/>
        <n v="123.0"/>
        <n v="107.0"/>
        <n v="428.0"/>
        <n v="429.0"/>
        <n v="371.0"/>
        <n v="415.0"/>
        <n v="359.0"/>
        <n v="320.0"/>
        <n v="299.0"/>
        <n v="347.0"/>
        <n v="520.0"/>
        <n v="516.0"/>
        <n v="511.0"/>
        <n v="498.0"/>
        <n v="467.0"/>
        <n v="324.0"/>
        <n v="361.0"/>
        <n v="351.0"/>
        <n v="252.0"/>
        <n v="251.0"/>
        <n v="201.0"/>
        <n v="200.0"/>
        <n v="70.0"/>
        <n v="69.0"/>
        <n v="501.0"/>
        <n v="234.0"/>
        <n v="378.0"/>
        <n v="138.0"/>
        <n v="233.0"/>
        <n v="488.0"/>
        <n v="203.0"/>
        <n v="418.0"/>
        <n v="68.0"/>
        <n v="187.0"/>
        <n v="524.0"/>
        <n v="508.0"/>
        <n v="513.0"/>
        <n v="517.0"/>
        <n v="518.0"/>
        <n v="1.0"/>
        <n v="454.0"/>
        <n v="3.0"/>
        <n v="2.0"/>
        <n v="182.0"/>
        <n v="125.0"/>
        <n v="47.0"/>
        <n v="44.0"/>
        <n v="45.0"/>
        <n v="7.0"/>
        <n v="16.0"/>
        <n v="14.0"/>
        <n v="6.0"/>
        <n v="4.0"/>
        <n v="512.0"/>
        <n v="515.0"/>
        <n v="24439.0"/>
        <n v="24363.0"/>
        <n v="24295.0"/>
        <n v="22920.0"/>
        <n v="4819.0"/>
        <n v="23537.0"/>
        <n v="20739.0"/>
        <n v="22636.0"/>
        <n v="1287.0"/>
        <n v="1290.0"/>
        <n v="13629.0"/>
        <n v="13618.0"/>
        <n v="13604.0"/>
        <n v="12744.0"/>
        <n v="12743.0"/>
        <n v="13485.0"/>
        <n v="13581.0"/>
        <n v="13578.0"/>
        <n v="13587.0"/>
        <n v="2794.0"/>
        <n v="2793.0"/>
        <n v="2788.0"/>
        <n v="2787.0"/>
        <n v="1828.0"/>
        <n v="1327.0"/>
        <n v="1310.0"/>
        <n v="1063.0"/>
        <n v="1191.0"/>
        <n v="10768.0"/>
        <n v="6070.0"/>
        <n v="5778.0"/>
        <n v="3612.0"/>
        <n v="3363.0"/>
        <n v="3365.0"/>
        <n v="3354.0"/>
        <n v="3277.0"/>
        <n v="3219.0"/>
        <n v="3334.0"/>
        <n v="3336.0"/>
        <n v="3291.0"/>
        <n v="2748.0"/>
        <n v="2674.0"/>
        <n v="1944.0"/>
        <n v="2742.0"/>
        <n v="2604.0"/>
        <n v="2538.0"/>
        <n v="1693.0"/>
        <n v="1815.0"/>
        <n v="1467.0"/>
        <n v="1488.0"/>
        <n v="1517.0"/>
        <n v="1774.0"/>
        <n v="1000.0"/>
        <n v="955.0"/>
        <n v="522.0"/>
        <n v="307.0"/>
        <n v="311.0"/>
        <n v="304.0"/>
        <n v="308.0"/>
        <n v="328.0"/>
        <n v="334.0"/>
        <n v="331.0"/>
        <n v="335.0"/>
        <n v="305.0"/>
        <n v="306.0"/>
        <n v="486.0"/>
        <n v="326.0"/>
        <n v="346.0"/>
        <n v="514.0"/>
        <n v="253.0"/>
        <n v="463.0"/>
        <n v="466.0"/>
        <n v="475.0"/>
        <n v="476.0"/>
        <n v="349.0"/>
        <n v="163.0"/>
        <n v="209.0"/>
        <n v="360.0"/>
        <n v="2757.0"/>
        <n v="25.0"/>
        <n v="1049.0"/>
        <n v="1083.0"/>
        <n v="94.0"/>
        <n v="2236.0"/>
        <n v="2233.0"/>
        <n v="255.0"/>
        <n v="32.0"/>
        <n v="22.0"/>
        <n v="21.0"/>
        <n v="445.0"/>
        <n v="407.0"/>
        <n v="396.0"/>
        <n v="265.0"/>
        <n v="259.0"/>
        <n v="225.0"/>
        <n v="333.0"/>
        <n v="302.0"/>
        <n v="54.0"/>
        <n v="33.0"/>
        <n v="11.0"/>
        <n v="38.0"/>
        <n v="39.0"/>
        <n v="40.0"/>
        <n v="210.0"/>
        <n v="57.0"/>
        <n v="111.0"/>
        <n v="12.0"/>
        <n v="8.0"/>
        <n v="5.0"/>
        <n v="9.0"/>
        <n v="19.0"/>
        <n v="15.0"/>
        <n v="20.0"/>
        <n v="17.0"/>
        <n v="51.0"/>
        <n v="36.0"/>
        <n v="156.0"/>
        <n v="135.0"/>
        <n v="249.0"/>
        <n v="78.0"/>
        <n v="76.0"/>
        <n v="53.0"/>
        <n v="18.0"/>
        <n v="2333.0"/>
        <n v="2284.0"/>
        <n v="2267.0"/>
        <n v="1079.0"/>
        <n v="2156.0"/>
        <n v="1822.0"/>
        <n v="1814.0"/>
        <n v="313.0"/>
        <n v="268.0"/>
        <n v="50.0"/>
        <n v="55.0"/>
        <n v="272.0"/>
        <n v="275.0"/>
        <n v="278.0"/>
        <n v="281.0"/>
        <n v="283.0"/>
        <n v="160.0"/>
        <n v="161.0"/>
        <n v="452.0"/>
        <n v="449.0"/>
        <n v="451.0"/>
        <n v="120.0"/>
        <n v="460.0"/>
        <n v="457.0"/>
        <n v="459.0"/>
        <n v="431.0"/>
        <n v="455.0"/>
        <n v="436.0"/>
        <n v="441.0"/>
        <n v="458.0"/>
        <n v="456.0"/>
        <n v="151.0"/>
        <n v="671.0"/>
        <n v="244.0"/>
        <n v="505.0"/>
        <n v="843.0"/>
        <n v="718.0"/>
        <n v="898.0"/>
        <n v="894.0"/>
        <n v="800.0"/>
        <n v="710.0"/>
        <n v="838.0"/>
        <n v="693.0"/>
        <n v="674.0"/>
        <n v="840.0"/>
        <n v="688.0"/>
        <n v="672.0"/>
        <n v="719.0"/>
        <n v="698.0"/>
        <n v="699.0"/>
        <n v="207.0"/>
        <n v="86.0"/>
        <n v="231.0"/>
        <n v="243.0"/>
        <n v="583.0"/>
        <n v="714.0"/>
        <n v="748.0"/>
        <n v="746.0"/>
        <n v="755.0"/>
        <n v="627.0"/>
        <n v="557.0"/>
        <n v="549.0"/>
        <n v="59.0"/>
        <n v="56.0"/>
        <n v="662.0"/>
        <n v="658.0"/>
        <n v="228.0"/>
        <n v="633.0"/>
        <n v="98.0"/>
        <n v="408.0"/>
        <n v="502.0"/>
        <n v="477.0"/>
        <n v="148.0"/>
        <n v="147.0"/>
        <n v="426.0"/>
        <n v="298.0"/>
        <n v="296.0"/>
        <n v="169.0"/>
        <n v="297.0"/>
        <n v="267.0"/>
        <n v="128.0"/>
        <n v="471.0"/>
        <n v="442.0"/>
        <n v="446.0"/>
        <n v="42.0"/>
        <n v="34.0"/>
        <n v="35.0"/>
        <n v="41.0"/>
        <n v="65.0"/>
        <n v="49.0"/>
        <n v="63.0"/>
        <n v="29.0"/>
        <n v="28.0"/>
        <n v="27.0"/>
        <n v="337.0"/>
        <n v="374.0"/>
        <n v="421.0"/>
        <n v="490.0"/>
        <n v="479.0"/>
        <n v="489.0"/>
        <n v="485.0"/>
        <n v="484.0"/>
        <n v="487.0"/>
        <n v="157.0"/>
        <n v="309.0"/>
        <n v="177.0"/>
        <n v="303.0"/>
        <n v="295.0"/>
        <n v="402.0"/>
        <n v="186.0"/>
        <n v="242.0"/>
        <n v="258.0"/>
        <n v="257.0"/>
        <n v="62.0"/>
        <n v="61.0"/>
        <n v="58.0"/>
        <n v="213.0"/>
        <n v="37.0"/>
        <n v="383.0"/>
        <n v="381.0"/>
        <n v="379.0"/>
        <n v="132.0"/>
        <n v="189.0"/>
        <n v="113.0"/>
        <n v="427.0"/>
        <n v="141.0"/>
        <n v="142.0"/>
        <n v="127.0"/>
        <n v="139.0"/>
        <n v="140.0"/>
        <n v="202.0"/>
        <n v="74.0"/>
        <n v="90.0"/>
        <n v="92.0"/>
        <n v="100.0"/>
        <n v="87.0"/>
        <n v="26.0"/>
        <n v="195.0"/>
        <n v="425.0"/>
        <n v="424.0"/>
        <n v="241.0"/>
        <n v="184.0"/>
        <n v="285.0"/>
        <n v="413.0"/>
        <n v="412.0"/>
        <n v="420.0"/>
        <n v="30.0"/>
        <n v="31.0"/>
        <n v="417.0"/>
        <n v="401.0"/>
        <n v="397.0"/>
        <n v="393.0"/>
        <n v="394.0"/>
        <n v="392.0"/>
        <n v="411.0"/>
        <n v="400.0"/>
        <n v="395.0"/>
        <n v="422.0"/>
        <n v="423.0"/>
        <n v="432.0"/>
        <n v="212.0"/>
        <n v="435.0"/>
        <n v="287.0"/>
        <n v="294.0"/>
        <n v="277.0"/>
      </sharedItems>
    </cacheField>
    <cacheField name="empty" numFmtId="0">
      <sharedItems containsString="0" containsBlank="1" containsNumber="1" containsInteger="1">
        <m/>
        <n v="0.0"/>
        <n v="484.0"/>
        <n v="437.0"/>
        <n v="263.0"/>
        <n v="364.0"/>
        <n v="168.0"/>
        <n v="28.0"/>
        <n v="370.0"/>
        <n v="26.0"/>
        <n v="51.0"/>
        <n v="424.0"/>
        <n v="532.0"/>
        <n v="1.0"/>
        <n v="169.0"/>
        <n v="522.0"/>
        <n v="3.0"/>
        <n v="2.0"/>
        <n v="170.0"/>
        <n v="519.0"/>
        <n v="4.0"/>
        <n v="5.0"/>
        <n v="37.0"/>
        <n v="123.0"/>
        <n v="127.0"/>
        <n v="162.0"/>
        <n v="468.0"/>
        <n v="367.0"/>
        <n v="416.0"/>
        <n v="447.0"/>
        <n v="7.0"/>
        <n v="13.0"/>
        <n v="102.0"/>
        <n v="292.0"/>
        <n v="406.0"/>
        <n v="23.0"/>
        <n v="152.0"/>
        <n v="155.0"/>
        <n v="68.0"/>
        <n v="409.0"/>
        <n v="425.0"/>
        <n v="104.0"/>
        <n v="103.0"/>
        <n v="161.0"/>
        <n v="117.0"/>
        <n v="173.0"/>
        <n v="212.0"/>
        <n v="233.0"/>
        <n v="185.0"/>
        <n v="12.0"/>
        <n v="16.0"/>
        <n v="21.0"/>
        <n v="34.0"/>
        <n v="65.0"/>
        <n v="208.0"/>
        <n v="171.0"/>
        <n v="181.0"/>
        <n v="267.0"/>
        <n v="268.0"/>
        <n v="318.0"/>
        <n v="319.0"/>
        <n v="157.0"/>
        <n v="449.0"/>
        <n v="450.0"/>
        <n v="18.0"/>
        <n v="285.0"/>
        <n v="141.0"/>
        <n v="381.0"/>
        <n v="286.0"/>
        <n v="31.0"/>
        <n v="316.0"/>
        <n v="101.0"/>
        <n v="451.0"/>
        <n v="332.0"/>
        <n v="11.0"/>
        <n v="6.0"/>
        <n v="531.0"/>
        <n v="78.0"/>
        <n v="489.0"/>
        <n v="490.0"/>
        <n v="310.0"/>
        <n v="482.0"/>
        <n v="492.0"/>
        <n v="471.0"/>
        <n v="474.0"/>
        <n v="473.0"/>
        <n v="511.0"/>
        <n v="502.0"/>
        <n v="504.0"/>
        <n v="512.0"/>
        <n v="514.0"/>
        <n v="515.0"/>
        <n v="516.0"/>
        <n v="530.0"/>
        <n v="20.0"/>
        <n v="17.0"/>
        <n v="24439.0"/>
        <n v="76.0"/>
        <n v="144.0"/>
        <n v="1519.0"/>
        <n v="19620.0"/>
        <n v="902.0"/>
        <n v="3700.0"/>
        <n v="1803.0"/>
        <n v="23152.0"/>
        <n v="23149.0"/>
        <n v="25.0"/>
        <n v="885.0"/>
        <n v="886.0"/>
        <n v="48.0"/>
        <n v="42.0"/>
        <n v="966.0"/>
        <n v="1467.0"/>
        <n v="1484.0"/>
        <n v="1731.0"/>
        <n v="1603.0"/>
        <n v="4698.0"/>
        <n v="4990.0"/>
        <n v="7156.0"/>
        <n v="7405.0"/>
        <n v="7403.0"/>
        <n v="7414.0"/>
        <n v="7491.0"/>
        <n v="7549.0"/>
        <n v="7434.0"/>
        <n v="7432.0"/>
        <n v="7477.0"/>
        <n v="8020.0"/>
        <n v="8094.0"/>
        <n v="798.0"/>
        <n v="138.0"/>
        <n v="204.0"/>
        <n v="1049.0"/>
        <n v="927.0"/>
        <n v="1275.0"/>
        <n v="1254.0"/>
        <n v="1225.0"/>
        <n v="968.0"/>
        <n v="1742.0"/>
        <n v="1787.0"/>
        <n v="10.0"/>
        <n v="225.0"/>
        <n v="221.0"/>
        <n v="228.0"/>
        <n v="224.0"/>
        <n v="198.0"/>
        <n v="201.0"/>
        <n v="197.0"/>
        <n v="227.0"/>
        <n v="226.0"/>
        <n v="46.0"/>
        <n v="206.0"/>
        <n v="186.0"/>
        <n v="279.0"/>
        <n v="69.0"/>
        <n v="66.0"/>
        <n v="57.0"/>
        <n v="56.0"/>
        <n v="183.0"/>
        <n v="369.0"/>
        <n v="525.0"/>
        <n v="323.0"/>
        <n v="172.0"/>
        <n v="2732.0"/>
        <n v="1708.0"/>
        <n v="1674.0"/>
        <n v="2741.0"/>
        <n v="2663.0"/>
        <n v="521.0"/>
        <n v="524.0"/>
        <n v="270.0"/>
        <n v="272.0"/>
        <n v="493.0"/>
        <n v="518.0"/>
        <n v="503.0"/>
        <n v="38.0"/>
        <n v="49.0"/>
        <n v="180.0"/>
        <n v="146.0"/>
        <n v="220.0"/>
        <n v="111.0"/>
        <n v="445.0"/>
        <n v="112.0"/>
        <n v="143.0"/>
        <n v="43.0"/>
        <n v="15.0"/>
        <n v="14.0"/>
        <n v="153.0"/>
        <n v="207.0"/>
        <n v="209.0"/>
        <n v="156.0"/>
        <n v="99.0"/>
        <n v="100.0"/>
        <n v="106.0"/>
        <n v="105.0"/>
        <n v="110.0"/>
        <n v="90.0"/>
        <n v="92.0"/>
        <n v="96.0"/>
        <n v="91.0"/>
        <n v="94.0"/>
        <n v="60.0"/>
        <n v="95.0"/>
        <n v="97.0"/>
        <n v="75.0"/>
        <n v="71.0"/>
        <n v="229.0"/>
        <n v="230.0"/>
        <n v="235.0"/>
        <n v="237.0"/>
        <n v="454.0"/>
        <n v="456.0"/>
        <n v="479.0"/>
        <n v="177.0"/>
        <n v="314.0"/>
        <n v="309.0"/>
        <n v="339.0"/>
        <n v="89.0"/>
        <n v="86.0"/>
        <n v="83.0"/>
        <n v="81.0"/>
        <n v="368.0"/>
        <n v="528.0"/>
        <n v="77.0"/>
        <n v="80.0"/>
        <n v="67.0"/>
        <n v="70.0"/>
        <n v="72.0"/>
        <n v="376.0"/>
        <n v="527.0"/>
        <n v="244.0"/>
        <n v="671.0"/>
        <n v="545.0"/>
        <n v="410.0"/>
        <n v="115.0"/>
        <n v="205.0"/>
        <n v="222.0"/>
        <n v="241.0"/>
        <n v="243.0"/>
        <n v="196.0"/>
        <n v="217.0"/>
        <n v="216.0"/>
        <n v="708.0"/>
        <n v="829.0"/>
        <n v="684.0"/>
        <n v="672.0"/>
        <n v="167.0"/>
        <n v="883.0"/>
        <n v="906.0"/>
        <n v="160.0"/>
        <n v="288.0"/>
        <n v="358.0"/>
        <n v="366.0"/>
        <n v="856.0"/>
        <n v="859.0"/>
        <n v="253.0"/>
        <n v="257.0"/>
        <n v="687.0"/>
        <n v="282.0"/>
        <n v="817.0"/>
        <n v="507.0"/>
        <n v="413.0"/>
        <n v="662.0"/>
        <n v="55.0"/>
        <n v="384.0"/>
        <n v="385.0"/>
        <n v="234.0"/>
        <n v="513.0"/>
        <n v="236.0"/>
        <n v="363.0"/>
        <n v="500.0"/>
        <n v="517.0"/>
        <n v="265.0"/>
        <n v="404.0"/>
        <n v="61.0"/>
        <n v="498.0"/>
        <n v="497.0"/>
        <n v="491.0"/>
        <n v="467.0"/>
        <n v="483.0"/>
        <n v="469.0"/>
        <n v="505.0"/>
        <n v="195.0"/>
        <n v="24.0"/>
        <n v="158.0"/>
        <n v="481.0"/>
        <n v="53.0"/>
        <n v="47.0"/>
        <n v="45.0"/>
        <n v="199.0"/>
        <n v="375.0"/>
        <n v="223.0"/>
        <n v="355.0"/>
        <n v="130.0"/>
        <n v="346.0"/>
        <n v="249.0"/>
        <n v="290.0"/>
        <n v="30.0"/>
        <n v="219.0"/>
        <n v="274.0"/>
        <n v="275.0"/>
        <n v="485.0"/>
        <n v="470.0"/>
        <n v="495.0"/>
        <n v="41.0"/>
        <n v="84.0"/>
        <n v="87.0"/>
        <n v="39.0"/>
        <n v="88.0"/>
        <n v="335.0"/>
        <n v="278.0"/>
        <n v="354.0"/>
        <n v="440.0"/>
        <n v="40.0"/>
        <n v="326.0"/>
        <n v="325.0"/>
        <n v="340.0"/>
        <n v="328.0"/>
        <n v="327.0"/>
        <n v="393.0"/>
        <n v="461.0"/>
        <n v="422.0"/>
        <n v="423.0"/>
        <n v="377.0"/>
        <n v="380.0"/>
        <n v="463.0"/>
        <n v="426.0"/>
        <n v="441.0"/>
        <n v="403.0"/>
        <n v="412.0"/>
        <n v="341.0"/>
        <n v="418.0"/>
        <n v="429.0"/>
        <n v="283.0"/>
        <n v="182.0"/>
        <n v="442.0"/>
        <n v="54.0"/>
        <n v="382.0"/>
        <n v="435.0"/>
        <n v="462.0"/>
        <n v="398.0"/>
        <n v="460.0"/>
        <n v="466.0"/>
        <n v="436.0"/>
        <n v="433.0"/>
        <n v="52.0"/>
        <n v="50.0"/>
        <n v="74.0"/>
        <n v="73.0"/>
        <n v="44.0"/>
        <n v="458.0"/>
        <n v="36.0"/>
        <n v="35.0"/>
        <n v="194.0"/>
        <n v="455.0"/>
        <n v="446.0"/>
        <n v="448.0"/>
        <n v="465.0"/>
        <n v="452.0"/>
        <n v="459.0"/>
        <n v="245.0"/>
        <n v="238.0"/>
        <n v="523.0"/>
        <n v="108.0"/>
        <n v="255.0"/>
      </sharedItems>
    </cacheField>
    <cacheField name="total" numFmtId="0">
      <sharedItems containsString="0" containsBlank="1" containsNumber="1" containsInteger="1">
        <m/>
        <n v="532.0"/>
        <n v="519.0"/>
        <n v="524.0"/>
        <n v="492.0"/>
        <n v="518.0"/>
        <n v="24439.0"/>
        <n v="13629.0"/>
        <n v="2794.0"/>
        <n v="10768.0"/>
        <n v="2742.0"/>
        <n v="2757.0"/>
        <n v="525.0"/>
        <n v="445.0"/>
        <n v="54.0"/>
        <n v="210.0"/>
        <n v="111.0"/>
        <n v="156.0"/>
        <n v="249.0"/>
        <n v="2333.0"/>
        <n v="364.0"/>
        <n v="529.0"/>
        <n v="527.0"/>
        <n v="915.0"/>
        <n v="467.0"/>
        <n v="212.0"/>
      </sharedItems>
    </cacheField>
    <cacheField name="LH">
      <sharedItems containsBlank="1" containsMixedTypes="1" containsNumber="1" containsInteger="1">
        <m/>
        <s v="CENTER"/>
        <s v="HTHRM_ID"/>
        <s v="LHFOLNUM"/>
        <s v="BIRTHNM"/>
        <s v="LH2TEMP"/>
        <s v="LH2COOLD"/>
        <s v="LH2CHROM"/>
        <s v="LH2CNGEN"/>
        <s v="LH2WGHT"/>
        <s v="LH2SURV"/>
        <s v="LH2ALLBG"/>
        <s v="LH2POSTN"/>
        <s v="LH2CNFCT"/>
        <s v="LH2PH"/>
        <s v="LH2DEFIC"/>
        <s v="LH2HIST"/>
        <s v="LH2APGA"/>
        <s v="LH2CONS"/>
        <s v="LH2REAS"/>
        <s v="LH2CONSP"/>
        <s v="LH2RANDT"/>
        <s v="LH2RANTM"/>
        <s v="LH2RANNM"/>
        <s v="L6TRTMT"/>
        <s v="LH13PART"/>
        <s v="LH13PTSP"/>
        <s v="LH4MAGE"/>
        <s v="LH4MRACE"/>
        <s v="LH4ETHNI"/>
        <s v="LH4MSTAT"/>
        <s v="LH4EDUC"/>
        <s v="LH4GRAV"/>
        <s v="LH4PARI"/>
        <s v="LH4MBRT"/>
        <s v="LH4FNUM"/>
        <s v="LH4PCARE"/>
        <s v="LH4HYPR"/>
        <s v="LH4HMRG"/>
        <s v="LH4THYR"/>
        <s v="LH4DIAB"/>
        <s v="LH4ADMDT"/>
        <s v="LH4ADMTM"/>
        <s v="LH4RPDT"/>
        <s v="LH4RPTM"/>
        <s v="LH4ESTIM"/>
        <s v="LH4LABOR"/>
        <s v="LH4LBDT"/>
        <s v="LH4LBTM"/>
        <s v="LH4MODE"/>
        <s v="LH4DECEL"/>
        <s v="LH4CORD"/>
        <s v="LH4UTER"/>
        <s v="LH4SHOUL"/>
        <s v="LH4PLCPX"/>
        <s v="LH4MHEM"/>
        <s v="LH4MTRMA"/>
        <s v="LH4MCARD"/>
        <s v="LH4MSEIZ"/>
        <s v="LH4PYRX"/>
        <s v="LH4CHORI"/>
        <s v="LH4PPATH"/>
        <s v="LH4CHDOC"/>
        <s v="LH4ANTI"/>
        <s v="LH4ANTC1"/>
        <s v="LH2LEVEL"/>
        <s v="LH2RAGE"/>
        <s v="LH5BTWGT"/>
        <s v="LH5LGTH"/>
        <s v="LH5HC"/>
        <s v="LH5GAGE"/>
        <s v="LH5SEX"/>
        <s v="LH5OUTB"/>
        <s v="LH5INHOS"/>
        <s v="LH5OUHOS"/>
        <s v="LH5ADMDT"/>
        <s v="LH5ADMTM"/>
        <s v="LH5AP1MN"/>
        <s v="LH5AP5MN"/>
        <s v="LH5A10MN"/>
        <s v="LH5A20MN"/>
        <s v="LH5DLRES"/>
        <s v="LH5DLO2"/>
        <s v="LH5DLBAG"/>
        <s v="LH5DLCOM"/>
        <s v="LH5DLINT"/>
        <s v="LH5DLDRG"/>
        <s v="LH510RES"/>
        <s v="LH510O2"/>
        <s v="LH510BAG"/>
        <s v="LH510COM"/>
        <s v="LH510INT"/>
        <s v="LH510DRG"/>
        <s v="LH5SPRES"/>
        <s v="LH5CORD"/>
        <s v="LH5CDSRC"/>
        <s v="LH5CDPH"/>
        <s v="LH5CDPCO"/>
        <s v="LH5CDPO2"/>
        <s v="LH5CDHCO"/>
        <s v="LH5CDDEF"/>
        <s v="LH5POST"/>
        <s v="LH5PSSRC"/>
        <s v="LH5PSDT"/>
        <s v="LH5PSTM"/>
        <s v="LH5PSPH"/>
        <s v="LH5PSPCO"/>
        <s v="LH5PSPO2"/>
        <s v="LH5PSHCO"/>
        <s v="LH5PSDEF"/>
        <s v="LH5BRTDT"/>
        <s v="LH5BRTTM"/>
        <s v="L6ARDDT"/>
        <s v="L6ARDTM"/>
        <s v="L6ASKINT"/>
        <s v="L6AAXILT"/>
        <s v="L6AESPHT"/>
        <s v="L6ASVOSP"/>
        <s v="LH6CVRDT"/>
        <s v="LH6CVRTM"/>
        <s v="LH6CVBPS"/>
        <s v="LH6CVBPD"/>
        <s v="LH6CVHR"/>
        <s v="LH6CVVE"/>
        <s v="LH6CVIA"/>
        <s v="LH6CVBT"/>
        <s v="LH6CVPLT"/>
        <s v="L6FPBRPB"/>
        <s v="L6FPBSRC"/>
        <s v="L6FPBDT"/>
        <s v="L6FPBTM"/>
        <s v="L6FPBOC1"/>
        <s v="L6FPBAB"/>
        <s v="L6FPBAC1"/>
        <s v="LH6OMTDT"/>
        <s v="LH6OMTTM"/>
        <s v="LH6OMAC1"/>
        <s v="LH6OMAG1"/>
        <s v="LH6OMAP1"/>
        <s v="LH6OMNB1"/>
        <s v="LH6OMFI"/>
        <s v="LH6OMUO"/>
        <s v="LH9HSONO"/>
        <s v="LH9HSDAT"/>
        <s v="LH9HSTIM"/>
        <s v="LH9HSREA"/>
        <s v="LH9HSRES"/>
        <s v="LH9HCT"/>
        <s v="LH9HCDAT"/>
        <s v="LH9HCTIM"/>
        <s v="LH9HCREA"/>
        <s v="LH9HCRES"/>
        <s v="LH9MRI"/>
        <s v="LH9BMDAT"/>
        <s v="LH9BMTIM"/>
        <s v="LH9BMREA"/>
        <s v="LH9BMRES"/>
        <s v="LH2NEXDN"/>
        <s v="LH2NENDR"/>
        <s v="LH2SIGN"/>
        <s v="LH2CON"/>
        <s v="LH2SPON"/>
        <s v="LH2POST"/>
        <s v="LH2TONE"/>
        <s v="LH2SUCK"/>
        <s v="LH2MORO"/>
        <s v="LH2PUPL"/>
        <s v="LH2HR"/>
        <s v="LH2RESP"/>
        <s v="LH2NEDAT"/>
        <s v="LH2NETIM"/>
        <s v="LH2SEDA"/>
        <s v="LH2SEIZ"/>
        <s v="L6ATMPRD"/>
        <s v="L6ABLNKT"/>
        <s v="LH6CVINT"/>
        <s v="LH6RSINT"/>
        <s v="LH6RSRDT"/>
        <s v="LH6RSRTM"/>
        <s v="LH6RSSPT"/>
        <s v="LH6RSFIO"/>
        <s v="LH6RSRHZ"/>
        <s v="LH6RSPDP"/>
        <s v="LH6RSMAP"/>
        <s v="LH6RSPEP"/>
        <s v="LH6BGINT"/>
        <s v="LH6BGDT"/>
        <s v="LH6BGTM"/>
        <s v="LH6BGPH"/>
        <s v="LH6BGPCO"/>
        <s v="LH6BGPO2"/>
        <s v="LH6BGHCO"/>
        <s v="LH6BGBD"/>
        <s v="LH6HEINT"/>
        <s v="LH6HERDT"/>
        <s v="LH6HERTM"/>
        <s v="LH6HEWBC"/>
        <s v="LH6HEHGB"/>
        <s v="LH6HEDCP"/>
        <s v="LH6HEDCM"/>
        <s v="LH6HEDCL"/>
        <s v="LH6HEPCT"/>
        <s v="LH6HEPT"/>
        <s v="LH6HEPTT"/>
        <s v="L6HMNHCT"/>
        <s v="L6HMNPLC"/>
        <s v="L6BVNPH"/>
        <s v="L6BVNPHD"/>
        <s v="L6BVNHCO"/>
        <s v="L6BVNHCD"/>
        <s v="L6BVNSS"/>
        <s v="L6BVNSSD"/>
        <s v="L6BVNSP"/>
        <s v="L6BVNSPD"/>
        <s v="L6BVNCL"/>
        <s v="L6BVNCLD"/>
        <s v="L6BVNGL"/>
        <s v="L6BVNGLD"/>
        <s v="L6BVNTC"/>
        <s v="L6BVNTCD"/>
        <s v="L6BVNIC"/>
        <s v="L6BVNICD"/>
        <s v="L6BVXPH"/>
        <s v="L6BVXPHD"/>
        <s v="L6BVXBD"/>
        <s v="L6BVXBDD"/>
        <s v="L6BVXSS"/>
        <s v="L6BVXSSD"/>
        <s v="L6BVXSP"/>
        <s v="L6BVXSPD"/>
        <s v="L6BVXCL"/>
        <s v="L6BVXCLD"/>
        <s v="L6BVXBN"/>
        <s v="L6BVXBND"/>
        <s v="L6BVXCR"/>
        <s v="L6BVXCRD"/>
        <s v="L6BVXGL"/>
        <s v="L6BVXGLD"/>
        <s v="L6BVXAS"/>
        <s v="L6BVXASD"/>
        <s v="L6BVXAL"/>
        <s v="L6BVXALD"/>
        <n v="1.0"/>
        <s v="L6FPCRAB"/>
        <s v="L6FPARC"/>
        <s v="L6FPADT"/>
        <s v="L6FPATM"/>
        <s v="L6FPAOC1"/>
        <s v="L6FPAAB"/>
        <s v="L6FPAAC1"/>
        <s v="LH6OMINT"/>
        <s v="LH9IMGTP"/>
        <s v="LH6ARNUM"/>
        <s v="LH6AMIN"/>
        <s v="LH6ADATE"/>
        <s v="LH6ATIME"/>
        <s v="LH6ASKIN"/>
        <s v="LH6AAXIL"/>
        <s v="LH6AESOP"/>
        <s v="LH6ASERV"/>
        <s v="LH6ADEVI"/>
        <s v="LH6AMODE"/>
        <s v="LH6AATEM"/>
        <s v="LH6ABATH"/>
        <s v="LH6AREAS"/>
        <s v="LH6ABLAN"/>
        <s v="LH6FRNUM"/>
        <s v="LH6FMIN"/>
        <s v="LH6FDATE"/>
        <s v="LH6FTIME"/>
        <s v="LH6FSKIN"/>
        <s v="LH6FAXIL"/>
        <s v="LH6FESOP"/>
        <s v="LH6FBLAN"/>
        <s v="LH6FSERV"/>
        <s v="LH7EVNM"/>
        <s v="LH7CDTO"/>
        <s v="LH7CTMO"/>
        <s v="LH7CDTR"/>
        <s v="LH7CTMR"/>
        <s v="LH7CATT"/>
        <s v="LH7CACT"/>
        <s v="LH7COUT"/>
        <s v="LH7CCOM"/>
        <s v="LH7MDTO"/>
        <s v="LH7MTMO"/>
        <s v="LH7MDTR"/>
        <s v="LH7MTMR"/>
        <s v="LH7MATT"/>
        <s v="LH7MACT"/>
        <s v="LH7MOUT"/>
        <s v="LH7MCOM"/>
        <s v="LH7TDTO"/>
        <s v="LH7TTMO"/>
        <s v="LH7TDTR"/>
        <s v="LH7TTMR"/>
        <s v="LH7TATT"/>
        <s v="LH7TACT"/>
        <s v="LH7TOUT"/>
        <s v="LH7TCOM"/>
        <s v="LH7BDTO"/>
        <s v="LH7BTMO"/>
        <s v="LH7BDTR"/>
        <s v="LH7BTMR"/>
        <s v="LH7BATT"/>
        <s v="LH7BACT"/>
        <s v="LH7BOUT"/>
        <s v="LH7BCOM"/>
        <s v="LH7ALT"/>
        <s v="LH7AATT"/>
        <s v="LH7ACT"/>
        <s v="LH7AOUT"/>
        <s v="LH7ACOM"/>
        <s v="LH7DDT"/>
        <s v="LH7DTM"/>
        <s v="LH7DATT"/>
        <s v="LH7DACT"/>
        <s v="LH7DOUT"/>
        <s v="LH7DCOM"/>
        <s v="LH7OSAE"/>
        <s v="LH7ODTO"/>
        <s v="LH7OTMO"/>
        <s v="LH7ODTR"/>
        <s v="LH7OTMR"/>
        <s v="LH7OATT"/>
        <s v="LH7OACT"/>
        <s v="LH7OOUT"/>
        <s v="LH7OCOM"/>
        <s v="LH14VINM"/>
        <s v="LH14VIDT"/>
        <s v="LH14VINT"/>
        <s v="LH14OTSP"/>
        <s v="LH14CIRC"/>
        <s v="LH14CIRS"/>
        <s v="LH14INFO"/>
        <s v="LH10DTDC"/>
        <s v="LH10TMDC"/>
        <s v="LH10DC96"/>
        <s v="LH10PARW"/>
        <s v="LH10MDWD"/>
        <s v="LH10ADVR"/>
        <s v="LH10EMCO"/>
        <s v="LH10DEAT"/>
        <s v="LH10OTH"/>
        <s v="LH10OTHS"/>
        <s v="L6AHTDAY"/>
        <s v="L6AHTDT"/>
        <s v="L6AHTTM"/>
        <s v="L6AHTST"/>
        <s v="L6AHTAT"/>
        <s v="LH11DT_1"/>
        <s v="LH11TM_1"/>
        <s v="LH11LC_1"/>
        <s v="LH11SP_1"/>
        <s v="LH11PO_1"/>
        <s v="LH11TO_1"/>
        <s v="LH11SC_1"/>
        <s v="LH11MR_1"/>
        <s v="LH11PU_1"/>
        <s v="LH11HR_1"/>
        <s v="LH11RS_1"/>
        <s v="LH11SZ_1"/>
        <s v="LH11SE_1"/>
        <s v="LH11CL_1"/>
        <s v="LH11FS_1"/>
        <s v="LH11MO_1"/>
        <s v="LH11GA_1"/>
        <s v="LH11HY_1"/>
        <s v="SITENM"/>
        <s v="LHMRIID"/>
        <s v="LM3MSTRH"/>
        <s v="LM3AQUAL"/>
        <s v="LM3T1A"/>
        <s v="LM3T1C"/>
        <s v="LM3T1S"/>
        <s v="LM3T2A"/>
        <s v="LM3T2C"/>
        <s v="LM3T2S"/>
        <s v="LM3T2FLRA"/>
        <s v="LM3T2FLRC"/>
        <s v="LM3T2FLRS"/>
        <s v="LM3GREA"/>
        <s v="LM3GREC"/>
        <s v="LM3GRES"/>
        <s v="LM3SPGRA"/>
        <s v="LM3SPGRC"/>
        <s v="LM3SPGRS"/>
        <s v="LM3DWI"/>
        <s v="LM3ADC"/>
        <s v="LM3OTH"/>
        <s v="LM3OTHS"/>
        <s v="LM3OVERD"/>
        <s v="LM3OVERDC"/>
        <s v="LM3SABNM"/>
        <s v="LM3ATROP"/>
        <s v="LM3ATROPR"/>
        <s v="LM3QASSCC"/>
        <s v="LM3QASSVDL"/>
        <s v="LM3QASSVDR"/>
        <s v="LM3INFAR"/>
        <s v="LM3INFARL"/>
        <s v="LM3INFARR"/>
        <s v="LM3WSHEDL"/>
        <s v="LM3WSHEDR"/>
        <s v="LM3MSHIFT"/>
        <s v="LM3BGTCL"/>
        <s v="LM3PLICCL"/>
        <s v="LM3ALICCL"/>
        <s v="LM3WSHEDA"/>
        <s v="LM3WMINJ"/>
        <s v="LM3FCINJ"/>
        <s v="LM3COMMS"/>
        <s v="MRI_PATTERN"/>
        <s v="LM1AVAI"/>
        <s v="LM1OBTA"/>
        <s v="LM1REAS"/>
        <s v="LM2READ"/>
        <s v="LM2CLASS"/>
        <s v="MRI_PCLASS"/>
        <s v="MRI_AGED"/>
        <s v="MRI_NOTDONE"/>
        <s v="MRI_UNREAD"/>
        <s v="MRI_DATE"/>
        <s v="MRI_TIME"/>
        <s v="MRI_INFARL"/>
        <s v="MRI_INFARR"/>
        <s v="LH12STAT"/>
        <s v="LH12DCDT&#10;LH12TRDT&#10;LH12DTDT"/>
        <s v="LH12DCDT"/>
        <s v="LH12DCWT"/>
        <s v="LH12DCLN"/>
        <s v="LH12DCHC"/>
        <s v="LH12TRRS"/>
        <s v="LH12TRDT"/>
        <s v="LH12TRWT"/>
        <s v="LH12TRLN"/>
        <s v="LH12TRHC"/>
        <s v="LH12TROU"/>
        <s v="LH12DTDT"/>
        <s v="LH12DTTM"/>
        <s v="LH12DTAU"/>
        <s v="LH12DTCA"/>
        <s v="LH12DTSP"/>
        <s v="LH12DTSR"/>
        <s v="LH13CVMG"/>
        <s v="LH13CVCF"/>
        <s v="LH13CVCD"/>
        <s v="LH13CVCI"/>
        <s v="LH13CVHY"/>
        <s v="LH13CVAR"/>
        <s v="LH13PLMC"/>
        <s v="LH13PLPP"/>
        <s v="LH13PLPH"/>
        <s v="LH13PLPN"/>
        <s v="LH13PLCL"/>
        <s v="LH13PECM"/>
        <s v="LH13PLNO"/>
        <s v="LH13PLVN"/>
        <s v="LH13PL02"/>
        <s v="LH13PLCP"/>
        <s v="L13PIBD1"/>
        <s v="L13PIBT1"/>
        <s v="L13PIED1"/>
        <s v="L13PIET1"/>
        <s v="LH13DIC"/>
        <s v="LH13HYGL"/>
        <s v="LH13HYCA"/>
        <s v="LH13HYMG"/>
        <s v="LH13RNOC"/>
        <s v="LH13RNAN"/>
        <s v="LH13RNDI"/>
        <s v="LH13GSDR"/>
        <s v="LH13GSAG"/>
        <s v="LH13GSNE"/>
        <s v="LH13GSHD"/>
        <s v="LH13HTES"/>
        <s v="LH13HTEN"/>
        <s v="LH13MJSG"/>
        <s v="LH13MJSA"/>
        <s v="LH13SEP"/>
        <s v="LH13SEPA"/>
        <s v="LH13MEN"/>
        <s v="LH13MENA"/>
        <s v="LH11DT_2"/>
        <s v="LH11TM_2"/>
        <s v="LH11LC_2"/>
        <s v="LH11SP_2"/>
        <s v="LH11PO_2"/>
        <s v="LH11TO_2"/>
        <s v="LH11SC_2"/>
        <s v="LH11MR_2"/>
        <s v="LH11PU_2"/>
        <s v="LH11HR_2"/>
        <s v="LH11RS_2"/>
        <s v="LH11SZ_2"/>
        <s v="LH11CL_2"/>
        <s v="LH11FS_2"/>
        <s v="LH11MO_2"/>
        <s v="LH11GA_2"/>
        <s v="LH11HY_2"/>
        <s v="LH13NESZ"/>
        <s v="LH13NESP"/>
        <s v="LH13NESD"/>
        <s v="LH13NESR"/>
        <s v="LH13NESA"/>
        <s v="LH13EEG"/>
        <s v="LH13EFIN"/>
        <s v="LH13EDAT"/>
        <s v="LH13ETIM"/>
        <s v="LH13ABNM"/>
        <s v="LH13ADAT"/>
        <s v="LH13ATIM"/>
        <s v="LH13ACON"/>
        <s v="any_antic"/>
        <s v="LH13BDEF"/>
        <s v="LH13BDCA"/>
        <s v="LH13HTVN"/>
        <s v="LH13HTO2"/>
        <s v="LH13HTGV"/>
        <s v="LH13HTGS"/>
        <s v="LH13HTTB"/>
        <s v="LH13HTAM"/>
        <s v="LH13HTOT"/>
        <s v="LH13HTOS"/>
        <s v="LH12SWIT"/>
        <s v="LH12DWIT"/>
        <s v="LH12TWIT"/>
        <s v="LH12WDIS"/>
        <s v="LH12SWRT"/>
        <s v="LH12WNEU"/>
        <s v="LH12WIMA"/>
        <s v="LH12WEEG"/>
        <s v="LH12WMSY"/>
        <s v="LH12WBBF"/>
        <s v="LH12WPWI"/>
        <s v="LH12WOT"/>
        <s v="LH12WOTS"/>
        <s v="LH12LOCD"/>
        <s v="LH12LCRT"/>
        <s v="LH12LOCA"/>
        <s v="LH12LMVI"/>
        <s v="LH12LVBM"/>
        <s v="LH12LMBP"/>
        <s v="LH12LCC"/>
        <s v="LH12LEM"/>
        <s v="LH12DNR"/>
        <s v="LH12DDNR"/>
        <s v="LH12TDNR"/>
        <s v="CFVISDT"/>
        <s v="CFBRTHDT"/>
        <s v="CFCHRAGE"/>
        <s v="CFADJAGE"/>
        <s v="CFSUPER"/>
        <s v="CFCARE"/>
        <s v="CFOCAR"/>
        <s v="CFMARITL"/>
        <s v="CFLIVING"/>
        <s v="CFPEOPLE"/>
        <s v="NF3MONEY"/>
        <s v="CFGRPCAR"/>
        <s v="CFGROCAR"/>
        <s v="CFWKPCAR"/>
        <s v="CFWKOCAR"/>
        <s v="CFSCCARE"/>
        <s v="CFSCADUL"/>
        <s v="CFINCOME"/>
        <s v="CFINSUR"/>
        <s v="CFLANG"/>
        <s v="CFOTHLAN"/>
        <s v="CFSECLAN"/>
        <s v="CFSECOND"/>
        <s v="CFOTHSEC"/>
        <s v="CFNMPLLV"/>
        <s v="NF3ZIP3"/>
        <s v="CFNURSEV"/>
        <s v="CFNDNRSV"/>
        <s v="CFNURSEH"/>
        <s v="CFNDNRSH"/>
        <s v="CFOTPT"/>
        <s v="CFNDOTPT"/>
        <s v="CFSPEECH"/>
        <s v="CFNDSPCH"/>
        <s v="CFEARLY"/>
        <s v="CFNDEALY"/>
        <s v="CFSOCIAL"/>
        <s v="CFNDSOCL"/>
        <s v="CFCLINIC"/>
        <s v="CFNDCLIN"/>
        <s v="CFCVPUL"/>
        <s v="CFNDPUL"/>
        <s v="CFCVOPH"/>
        <s v="CFNDOPH"/>
        <s v="CFCVGAS"/>
        <s v="CFNDGAS"/>
        <s v="CFCVAUD"/>
        <s v="CFNDAUD"/>
        <s v="CFCVNEU"/>
        <s v="CFNDNEU"/>
        <s v="CFCVOTH"/>
        <s v="CFNDOTH"/>
        <s v="CFCVOSP"/>
        <s v="CFEVAL"/>
        <s v="CFNDEVAL"/>
        <s v="CFPREFU"/>
        <s v="CFNDPFU"/>
        <s v="CFREGDR"/>
        <s v="CFCCFAC"/>
        <s v="CFCAROT"/>
        <s v="CFTRDYCR"/>
        <s v="CFTRDCHR"/>
        <s v="CFSPDYCR"/>
        <s v="CFSPDCHR"/>
        <s v="CFSPDCLC"/>
        <s v="CFHMDYCR"/>
        <s v="CFHMDCHR"/>
        <s v="CFHMDCLC"/>
        <s v="CFBBYSIT"/>
        <s v="CFBSITHR"/>
        <s v="CFBABSTR"/>
        <s v="CFPLACE"/>
        <s v="CFCOMPDT"/>
        <s v="DFREHOSP"/>
        <s v="DFTIMES"/>
        <s v="DFOPERAT"/>
        <s v="DFOPTYMP"/>
        <s v="DFOPTRAC"/>
        <s v="DFOP_EYE"/>
        <s v="DFOPEYER"/>
        <s v="DFOPHERN"/>
        <s v="DFOPGAST"/>
        <s v="DFOPFUND"/>
        <s v="DFOPSHUN"/>
        <s v="DFOPREAN"/>
        <s v="DFOPPDA"/>
        <s v="DFOPBRON"/>
        <s v="DFOPHYPO"/>
        <s v="DFOPOTH"/>
        <s v="DFOPOTHS"/>
        <s v="DFMEDIC"/>
        <s v="NF4NUTRI"/>
        <s v="NF4CALOR"/>
        <s v="NF4DIUR"/>
        <s v="NF4RFLUX"/>
        <s v="NF4BRONC"/>
        <s v="DFIHSTRD"/>
        <s v="DFOLSTRD"/>
        <s v="DFOASMA"/>
        <s v="DFALGYMD"/>
        <s v="NF4ANTCV"/>
        <s v="DFPRANTI"/>
        <s v="DFANTBIO"/>
        <s v="DFCNSPAT"/>
        <s v="DFBPMED"/>
        <s v="DFTHYRD"/>
        <s v="DFMRELAX"/>
        <s v="DFBOTOX"/>
        <s v="NF4OTMDS"/>
        <s v="NF4OTHSP"/>
        <s v="DFSEIZ"/>
        <s v="DFRECVD"/>
        <s v="DFAPNEA"/>
        <s v="DFOXYGEN"/>
        <s v="DFVENT"/>
        <s v="DFTUBE"/>
        <s v="DFTRACH"/>
        <s v="DFPLSEOX"/>
        <s v="DFFLUSHT"/>
        <s v="DFRSVPRO"/>
        <s v="DFSELF"/>
        <s v="DFASSIST"/>
        <s v="DFTUBFED"/>
        <s v="DF_TPN"/>
        <s v="DF_MILK"/>
        <s v="DFTBLFOD"/>
        <s v="DFSFTFOD"/>
        <s v="DFLIQUID"/>
        <s v="DFTHKLQD"/>
        <s v="DFEQUIP"/>
        <s v="DFSTROLL"/>
        <s v="DFBRACES"/>
        <s v="DFWALKER"/>
        <s v="DFSTNDER"/>
        <s v="DFCNRCHR"/>
        <s v="EFWEIGHT"/>
        <s v="EFLENGTH"/>
        <s v="EFHC"/>
        <s v="NF5STRRT"/>
        <s v="NF5STRLT"/>
        <s v="NF5NYSRT"/>
        <s v="NF5NYSLT"/>
        <s v="NF5ROVRT"/>
        <s v="NF5ROVLT"/>
        <s v="NF5TRKRT"/>
        <s v="NF5TRKLT"/>
        <s v="EFVISINR"/>
        <s v="EFVISINL"/>
        <s v="EFAUDIO"/>
        <s v="EFCONPEN"/>
        <s v="NF5VRA"/>
        <s v="NF5VRART"/>
        <s v="NF5VRALT"/>
        <s v="NF5VRASN"/>
        <s v="NF5ABR"/>
        <s v="NF5ABRRT"/>
        <s v="NF5ABRLT"/>
        <s v="NF5UKHR"/>
        <s v="NF5UKHRT"/>
        <s v="NF5UKHLT"/>
        <s v="EFHEARIM"/>
        <s v="EFHRDIS"/>
        <s v="EFSWALL"/>
        <s v="NF5DYSPH"/>
        <s v="NF5ASPIR"/>
        <s v="NF5ABVOC"/>
        <s v="NF5DROOL"/>
        <s v="NF5NPO"/>
        <s v="EFABREST"/>
        <s v="EFSHORTR"/>
        <s v="EFSLOWR"/>
        <s v="EFTREMRR"/>
        <s v="NF5NCTRK"/>
        <s v="NF5UPEXR"/>
        <s v="NF5UPEXL"/>
        <s v="NF5HPKNR"/>
        <s v="NF5HPKNL"/>
        <s v="NF5ANKLR"/>
        <s v="NF5ANKLL"/>
        <s v="NF5SCISS"/>
        <s v="NF5HNDPF"/>
        <s v="NF5PRORF"/>
        <s v="NF5LMBUP"/>
        <s v="NF5LMBLW"/>
        <s v="NF5UPRRT"/>
        <s v="NF5UPRLT"/>
        <s v="NF5KNERT"/>
        <s v="NF5KNELT"/>
        <s v="NF5AKLRT"/>
        <s v="NF5AKLLT"/>
        <s v="NF5CLNRT"/>
        <s v="NF5CLNLT"/>
        <s v="NF5PLNRT"/>
        <s v="NF5PLNLT"/>
        <s v="EFAXISHD"/>
        <s v="EFAXTRNK"/>
        <s v="EFLWRLMB"/>
        <s v="EFUPRLMB"/>
        <s v="EFRHAND"/>
        <s v="EFLHAND"/>
        <s v="EFDGNORM"/>
        <s v="EFHYPOT"/>
        <s v="EFHYPERT"/>
        <s v="EFOTHER"/>
        <s v="NF5OCPSP"/>
        <s v="EFDIPLEG"/>
        <s v="EFHEMRT"/>
        <s v="EFHEMLT"/>
        <s v="EFQUADR"/>
        <s v="EFTRIPLE"/>
        <s v="EFATHETO"/>
        <s v="NF5HYPTN"/>
        <s v="NF5MNPLG"/>
        <s v="NF5MXCP"/>
        <s v="NF5CPUN"/>
        <s v="NF5CPSP"/>
        <s v="EFCERPAL"/>
        <s v="EFCERGR"/>
        <s v="EFCONGEN"/>
        <s v="EFCONGSP"/>
        <s v="EFPLACE"/>
        <s v="NF5LOCSP"/>
        <s v="NF5QUALT"/>
        <s v="NF5FACTR"/>
        <s v="NF5FACSP"/>
        <s v="EFCOMPDT"/>
        <s v="NF9ACSU"/>
        <s v="NF9ACSUR"/>
        <s v="NF9ACSUS"/>
        <s v="NF9ALRC"/>
        <s v="NF9ALRCR"/>
        <s v="NF9ALRCS"/>
        <s v="NF9ALEC"/>
        <s v="NF9ALECR"/>
        <s v="NF9ALECS"/>
        <s v="NF9AMFN"/>
        <s v="NF9AMFNR"/>
        <s v="NF9AMFNS"/>
        <s v="NF9AMGR"/>
        <s v="NF9AMGRR"/>
        <s v="NF9AMGRS"/>
        <s v="NF9AAACS"/>
        <s v="NF9AAARC"/>
        <s v="NF9AAAEC"/>
        <s v="NF9AAAMF"/>
        <s v="NF9AAAMG"/>
        <s v="NF9ABSCR"/>
        <s v="NF9ABSCS"/>
        <s v="NF9ABSCC"/>
        <s v="NF9ABSRR"/>
        <s v="NF9ABSRS"/>
        <s v="NF9ABSER"/>
        <s v="NF9ABSES"/>
        <s v="NF9ABSLS"/>
        <s v="NF9ABSLC"/>
        <s v="NF9AMFRW"/>
        <s v="NF9AMFSS"/>
        <s v="NF9AMGRW"/>
        <s v="NF9AMGSS"/>
        <s v="NF9AMGSM"/>
        <s v="NF9AMCMP"/>
        <s v="NF9ABSEN"/>
        <s v="NF9ABSIN"/>
        <s v="NF9ABSMK"/>
        <s v="NF9AWEC"/>
        <s v="NF9ADATE"/>
        <s v="NF5GROSS"/>
        <s v="NF10VSDT"/>
        <s v="JFBRTDT"/>
        <s v="JFSTATUS"/>
        <s v="JFDTHDT"/>
        <s v="JFREASN"/>
        <s v="KFFSTDT"/>
        <s v="KFSECDT"/>
        <s v="DFREADNM"/>
        <s v="DFTIMEA"/>
        <s v="DFCAUSE"/>
        <s v="NF4AROTS"/>
        <s v="LFOSOURC"/>
        <s v="LFCONTDT"/>
        <s v="LFCOMPDT"/>
        <s v="LFALIVE"/>
        <s v="LFADJAGE"/>
        <s v="LFDTHDT"/>
        <s v="LFINTERV"/>
        <s v="LFINTDT"/>
        <s v="LFINTAGE"/>
        <s v="LFCHART2"/>
        <s v="LFCHARDT"/>
        <s v="LFCHARAG"/>
        <s v="LFHEALTH"/>
        <s v="LFWALK"/>
        <s v="LFWKAGE"/>
        <s v="LFSITTIN"/>
        <s v="LFHEAD"/>
        <s v="LFSEE"/>
        <s v="LFEYEQ"/>
        <s v="NF12GLAS"/>
        <s v="LFHEAR"/>
        <s v="LFHEARQ"/>
        <s v="LFHEAIDQ"/>
        <s v="NF12NMWD"/>
        <s v="NF12C2WD"/>
        <s v="NF12C3WD"/>
        <s v="LFHYDROQ"/>
        <s v="LFCPQ"/>
        <s v="LFDEVDQ"/>
        <s v="LFLANDQ"/>
        <s v="LFWEIGHQ"/>
        <s v="LFSEIZUQ"/>
        <s v="LFBLINDQ"/>
        <s v="NF12BHPB"/>
        <s v="NF12BHDS"/>
        <s v="NF12MDPB"/>
        <s v="NF12MDDS"/>
        <s v="NF12NRPB"/>
        <s v="NF12NRDS"/>
        <s v="LFEYEC"/>
        <s v="LFHEARC"/>
        <s v="LFHEAIDC"/>
        <s v="LFHYDROC"/>
        <s v="LFCPC"/>
        <s v="LFDEVDEC"/>
        <s v="LFLANDEC"/>
        <s v="LFWEIGHC"/>
        <s v="LFSEIZUC"/>
        <s v="NF12BLND"/>
        <s v="NF12CHBH"/>
        <s v="NF12CHBD"/>
        <s v="NF12CHMM"/>
        <s v="NF12CHMD"/>
        <s v="NF12CHNR"/>
        <s v="NF12CHND"/>
        <s v="blindness"/>
        <s v="modsevcp"/>
        <s v="cp_out"/>
        <s v="gross"/>
        <s v="hear_imp"/>
        <s v="hearing"/>
        <s v="seiz_fu"/>
        <s v="all_norm"/>
        <s v="bayley3"/>
        <s v="death18"/>
        <s v="hosp_die"/>
        <s v="disab_4"/>
        <s v="disab_die4"/>
        <s v="disab_die"/>
        <s v="disab_ms"/>
      </sharedItems>
    </cacheField>
    <cacheField name="OC" numFmtId="0">
      <sharedItems containsBlank="1">
        <m/>
        <s v="CENTER"/>
        <s v="HTHRM_ID"/>
        <s v="LHFOLNUM"/>
        <s v="BIRTHNM"/>
        <s v="COMMENT"/>
        <s v="OC2TMP2"/>
        <s v="OC2TEMP"/>
        <s v="OC2NORAN"/>
        <s v="OC2CHROM"/>
        <s v="OC2CNGEN"/>
        <s v="OC2WGHT"/>
        <s v="OC2SURV"/>
        <s v="OC2ALLBG"/>
        <s v="OC2PH"/>
        <s v="OC2DEFIC"/>
        <s v="OC2HIST"/>
        <s v="OC2APGA"/>
        <s v="OC2ELIG"/>
        <s v="OC2CONS"/>
        <s v="OC2REAS"/>
        <s v="OC2RAND"/>
        <s v="OC2NRREA"/>
        <s v="OC2NRRES"/>
        <s v="OC2RANDT"/>
        <s v="OC2RANTM"/>
        <s v="age_rand"/>
        <s v="OC2RANNM"/>
        <s v="OC2RANNA"/>
        <s v="OC2RTRTM"/>
        <s v="OC2BYYPE"/>
        <s v="trt_dur"/>
        <s v="trt_temp"/>
        <s v="usualc"/>
        <s v="OC13POIT"/>
        <s v="OC13POIS"/>
        <s v="OC4MAGE"/>
        <s v="OC4RACE"/>
        <s v="OC4ETHN"/>
        <s v="OC4MSTA"/>
        <s v="OC4EDUC"/>
        <s v="OC4MDINS"/>
        <s v="OC4FRAV"/>
        <s v="OC4PARI"/>
        <s v="OC4MBIR"/>
        <s v="OC4NFET"/>
        <s v="OC4PCAR"/>
        <s v="OC4HYPE"/>
        <s v="OC4ANTE"/>
        <s v="OC4THYR"/>
        <s v="OC4DIAB"/>
        <s v="OC4ADAT"/>
        <s v="OC4ATIM"/>
        <s v="OC4RDAT"/>
        <s v="OC4RTIM"/>
        <s v="OC4ROME"/>
        <s v="OC4RUPT"/>
        <s v="OC4MODE"/>
        <s v="OC4LOSS"/>
        <s v="OC4CORD"/>
        <s v="OC4UTER"/>
        <s v="OC4DYST"/>
        <s v="OC4PLAC"/>
        <s v="OC4HEMO"/>
        <s v="OC4TRAU"/>
        <s v="OC4ARRE"/>
        <s v="OC4SEIZ"/>
        <s v="any_pse"/>
        <s v="OC4PYRE"/>
        <s v="OC4CHOR"/>
        <s v="OC4PATH"/>
        <s v="OC4HIST"/>
        <s v="OC4ANTI"/>
        <s v="OC4ANT1"/>
        <s v="ecsect"/>
        <s v="OC2LEVEL"/>
        <s v="OC5BWHGT"/>
        <s v="OC5BLGTH"/>
        <s v="OC5HCIRC"/>
        <s v="OC5GAGE"/>
        <s v="OC5SEX"/>
        <s v="male"/>
        <s v="OC5OBOR"/>
        <s v="OC5HSET"/>
        <s v="OC5OSET"/>
        <s v="OC5ADAT"/>
        <s v="OC5ATIM"/>
        <s v="OC5AS1"/>
        <s v="OC5AS5"/>
        <s v="OC5AS10"/>
        <s v="OC5AS15"/>
        <s v="OC5AS20"/>
        <s v="OC5OXY"/>
        <s v="OC5BAG"/>
        <s v="OC5COM"/>
        <s v="OC5INT"/>
        <s v="OC5DRUG"/>
        <s v="OC5CRS10"/>
        <s v="OC5COXY"/>
        <s v="OC5CBAG"/>
        <s v="OC5CCOM"/>
        <s v="OC5CINT"/>
        <s v="OC5CDRUG"/>
        <s v="OC5SPTIM"/>
        <s v="OC5TOBT"/>
        <s v="OC5CBSOR"/>
        <s v="OC5PH"/>
        <s v="OC5PC02"/>
        <s v="OC5PO2"/>
        <s v="OC5HC03"/>
        <s v="OC5BASE"/>
        <s v="OC5PBBO"/>
        <s v="OC5PNSOU"/>
        <s v="OC5PBGD"/>
        <s v="OC5PBGT"/>
        <s v="OC5PPH"/>
        <s v="OC5PPC02"/>
        <s v="OC5PPO2"/>
        <s v="OC5PHC03"/>
        <s v="OC5PBASE"/>
        <s v="acidosis"/>
        <s v="apg10_lt5"/>
        <s v="apgar10_5"/>
        <s v="apgar5_5"/>
        <s v="dual_base"/>
        <s v="use_base"/>
        <s v="dual_ph"/>
        <s v="use_ph"/>
        <s v="OC5BDAT"/>
        <s v="OC5BTIM"/>
        <s v="OC6TGTTP"/>
        <s v="OC6CLPRD"/>
        <s v="OC6CLICE"/>
        <s v="OC6CLPAS"/>
        <s v="OC6CLCLN"/>
        <s v="OC6CLDAT"/>
        <s v="OC6CLTIM"/>
        <s v="OC6TMPOV"/>
        <s v="OC6TODAT"/>
        <s v="OC6TOTIM"/>
        <s v="OC6TPBDM"/>
        <s v="OC6TPBTM"/>
        <s v="OC6TPBSM"/>
        <s v="OC6TPBAM"/>
        <s v="OC6TPBEM"/>
        <s v="OC6TPBVM"/>
        <s v="OC6TPBDX"/>
        <s v="OC6TPBTX"/>
        <s v="OC6TPBSX"/>
        <s v="OC6TPBAX"/>
        <s v="OC6TPBEX"/>
        <s v="OC6TPBVX"/>
        <s v="OC7CVDT"/>
        <s v="OC7CVTM"/>
        <s v="OC7CBPS"/>
        <s v="OC7CBPD"/>
        <s v="OC7CVHR"/>
        <s v="OC7CVVE"/>
        <s v="OC7CVIA"/>
        <s v="OC7CVBT"/>
        <s v="OC7CPLT"/>
        <s v="OC9ATPR"/>
        <s v="OC9ATBC1"/>
        <s v="OC8OMAC1"/>
        <s v="OC8OMAG1"/>
        <s v="OC8OMAP1"/>
        <s v="OC8OMNB1"/>
        <s v="OC8OMFI"/>
        <s v="OC8OMUO"/>
        <s v="OC12HSON"/>
        <s v="OC12HSDA"/>
        <s v="OC12HSTM"/>
        <s v="OC12HSRA"/>
        <s v="OC12HSRS"/>
        <s v="OC12HCT"/>
        <s v="OC12HCDA"/>
        <s v="OC12HCTM"/>
        <s v="OC12HCRA"/>
        <s v="OC12HCRS"/>
        <s v="OC12MRI"/>
        <s v="OC12BMDA"/>
        <s v="OC12BMTM"/>
        <s v="OC12BMRA"/>
        <s v="OC12BMRS"/>
        <s v="OC2NEXDN"/>
        <s v="OC2NENDR"/>
        <s v="OC2SIGN"/>
        <s v="OC2CON"/>
        <s v="OC2SPON"/>
        <s v="OC2POST"/>
        <s v="OC2TONE"/>
        <s v="OC2SUCK"/>
        <s v="OC2MORO"/>
        <s v="OC2PUPL"/>
        <s v="OC2HR"/>
        <s v="OC2RESP"/>
        <s v="OC2NDAT"/>
        <s v="OC2NTIM"/>
        <s v="OC2SEDA"/>
        <s v="OC2SEIZ"/>
        <s v="OC6TINTV"/>
        <s v="OC6TINT"/>
        <s v="OC6TTPDT"/>
        <s v="OC6TTPTM"/>
        <s v="OC6TSKNT"/>
        <s v="OC6TAXIT"/>
        <s v="OC6TESOT"/>
        <s v="OC6TBLKT"/>
        <s v="OC6TSSPT"/>
        <s v="OC6TASI"/>
        <s v="OC6TSHIV"/>
        <s v="OC7INTV"/>
        <s v="OC8INTV"/>
        <s v="OC8RSRDT"/>
        <s v="OC8RSRTM"/>
        <s v="OC8RSSPT"/>
        <s v="OC8RSFIO"/>
        <s v="OC8RSRHZ"/>
        <s v="OC8RSPDP"/>
        <s v="OC8RSMAP"/>
        <s v="OC8RSPEP"/>
        <s v="OC7BGDT"/>
        <s v="OC7BGTM"/>
        <s v="OC7BGSRC"/>
        <s v="OC7BGPH"/>
        <s v="OC7BPCO"/>
        <s v="OC7BPO2"/>
        <s v="OC7BHCO"/>
        <s v="OC7BGBD"/>
        <s v="OC7BCPH"/>
        <s v="OC7BCPCO"/>
        <s v="OC7BCPO2"/>
        <s v="OC7BCHCO"/>
        <s v="OC7BCBD"/>
        <s v="OC8HELAB"/>
        <s v="OC8HEWBC"/>
        <s v="OC8HEHGB"/>
        <s v="OC8HEDCP"/>
        <s v="OC8HEDCM"/>
        <s v="OC8HEDCL"/>
        <s v="OC8HEPCT"/>
        <s v="OC8HEPT"/>
        <s v="OC8HEPTT"/>
        <s v="OC9HMMN"/>
        <s v="OC9HMDA"/>
        <s v="OC9PCMN"/>
        <s v="OC9PCDA"/>
        <s v="OC9BNBL"/>
        <s v="OC9BNDAT"/>
        <s v="OC9CRBL"/>
        <s v="OC9CRDAT"/>
        <s v="OC9ASBL"/>
        <s v="OC9ASDAT"/>
        <s v="OC9ALBL"/>
        <s v="OC9ALDAT"/>
        <s v="OC9TBBL"/>
        <s v="OC9TBDAT"/>
        <s v="OC9PHMN"/>
        <s v="OC9PMID"/>
        <s v="OC9HCMN"/>
        <s v="OC9HCDA"/>
        <s v="OC9SSMN"/>
        <s v="OC9SSDA"/>
        <s v="OC9SPMN"/>
        <s v="OC9SPDA"/>
        <s v="OC9CHMN"/>
        <s v="OC9CHDA"/>
        <s v="OC9GLMN"/>
        <s v="OC9GLDA"/>
        <s v="OC9TCMN"/>
        <s v="OC9TCDA"/>
        <s v="OC9IOMN"/>
        <s v="OC9IODA"/>
        <s v="OC9ASMN"/>
        <s v="OC9ASDA"/>
        <s v="OC9ALMN"/>
        <s v="OC9ALDA"/>
        <s v="OC9TBMN"/>
        <s v="OC9TBDA"/>
        <s v="OC9PHMX"/>
        <s v="OC9PMXD"/>
        <s v="OC9BDMX"/>
        <s v="OC9BDMXD"/>
        <s v="OC9SSMX"/>
        <s v="OC9SSMXD"/>
        <s v="OC9SPMX"/>
        <s v="OC9SPMXD"/>
        <s v="OC9CHMX"/>
        <s v="OC9CHMXD"/>
        <s v="OC9BNMX"/>
        <s v="OC9BNMXD"/>
        <s v="OC9CRMX"/>
        <s v="OC9CRMXD"/>
        <s v="OC9GLMX"/>
        <s v="OC9GLMXD"/>
        <s v="OC9TCMX"/>
        <s v="OC9TCMXD"/>
        <s v="OC9IOMX"/>
        <s v="OC9IOMXD"/>
        <s v="OC9ASMX"/>
        <s v="OC9ASMXD"/>
        <s v="OC9ALMX"/>
        <s v="OC9ALMXD"/>
        <s v="OC9TBMX"/>
        <s v="OC9TBMXD"/>
        <s v="OC9IPCNU"/>
        <s v="OC9ISOUR"/>
        <s v="OC9IDATE"/>
        <s v="OC9ITIME"/>
        <s v="OC9IOCO1"/>
        <s v="OC9ATBL"/>
        <s v="OC9AABC1"/>
        <s v="OC9ATRW"/>
        <s v="OC9ARWC1"/>
        <s v="OC12INTV"/>
        <s v="O17RPTNM"/>
        <s v="O17CSBC"/>
        <s v="O17EKG"/>
        <s v="O17EKGR"/>
        <s v="O17EKGRS"/>
        <s v="O17AAMED"/>
        <s v="O17EBSDT"/>
        <s v="O17EBSTM"/>
        <s v="O17EBDUR"/>
        <s v="O17EBLHR"/>
        <s v="OC15EVNM"/>
        <s v="OC15CDTO"/>
        <s v="OC15CTMO"/>
        <s v="OC15CDTR"/>
        <s v="OC15CTMR"/>
        <s v="OC15CATT"/>
        <s v="OC15CACT"/>
        <s v="OC15COUT"/>
        <s v="OC15CCOM"/>
        <s v="OC15MDTO"/>
        <s v="OC15MTMO"/>
        <s v="OC15MDTR"/>
        <s v="OC15MTMR"/>
        <s v="OC15MATT"/>
        <s v="OC15MACT"/>
        <s v="OC15MOUT"/>
        <s v="OC15MCOM"/>
        <s v="OC15TDTO"/>
        <s v="OC15TTMO"/>
        <s v="OC15TDTR"/>
        <s v="OC15TTMR"/>
        <s v="OC15TATT"/>
        <s v="OC15TACT"/>
        <s v="OC15TOUT"/>
        <s v="OC15TCOM"/>
        <s v="OC15BDTO"/>
        <s v="OC15BTMO"/>
        <s v="OC15BDTR"/>
        <s v="OC15BTMR"/>
        <s v="OC15BATT"/>
        <s v="OC15BACT"/>
        <s v="OC15BOUT"/>
        <s v="OC15BCOM"/>
        <s v="OC15ALT"/>
        <s v="OC15ADTO"/>
        <s v="OC15ADTR"/>
        <s v="OC15AATT"/>
        <s v="OC15ACT"/>
        <s v="OC15AOUT"/>
        <s v="OC15ACOM"/>
        <s v="OC15DDT"/>
        <s v="OC15DTM"/>
        <s v="OC15DATT"/>
        <s v="OC15DACT"/>
        <s v="OC15DOUT"/>
        <s v="OC15DCOM"/>
        <s v="OC15OSP"/>
        <s v="OC15ODTO"/>
        <s v="OC15OTMO"/>
        <s v="OC15ODTR"/>
        <s v="OC15OTMR"/>
        <s v="OC15OATT"/>
        <s v="OC15OACT"/>
        <s v="OC15OOUT"/>
        <s v="OC15OCOM"/>
        <s v="OC14RPTN"/>
        <s v="OC14DATE"/>
        <s v="OC14NOPV"/>
        <s v="OC14TRAS"/>
        <s v="OC14TRRC"/>
        <s v="OC14PVSP"/>
        <s v="OC14CIRC"/>
        <s v="OC14CIRS"/>
        <s v="OC14COMM"/>
        <s v="OC10RPTN"/>
        <s v="OC10INT"/>
        <s v="OC10INTR"/>
        <s v="OC10SPFY"/>
        <s v="OC10IDAT"/>
        <s v="OC10ITIM"/>
        <s v="OC10RDAT"/>
        <s v="OC10RTIM"/>
        <s v="OC10TEMP"/>
        <s v="OC6NCEDT"/>
        <s v="OC6NCETM"/>
        <s v="OC6CLTEP"/>
        <s v="OC6NCEPR"/>
        <s v="OC6NCERS"/>
        <s v="OC6DINTV"/>
        <s v="OC6DTPDT"/>
        <s v="OC6DTPTM"/>
        <s v="OC6DSKNT"/>
        <s v="OC6DAXIT"/>
        <s v="OC6DASI"/>
        <s v="OC6DSHIV"/>
        <s v="OC6RCHNT"/>
        <s v="OC6RNDAT"/>
        <s v="OC6RNTIM"/>
        <s v="OC6RNTMP"/>
        <s v="OC6RNNRN"/>
        <s v="OC6NCECC"/>
        <s v="OC6NCECS"/>
        <s v="OC9ASES"/>
        <s v="OC9ASESD"/>
        <s v="OC9ALES"/>
        <s v="OC9ALESD"/>
        <s v="OC9TBES"/>
        <s v="OC9TBESD"/>
        <s v="OC11EXDT"/>
        <s v="OC11EXTM"/>
        <s v="OC11C_LC"/>
        <s v="OC11CSPA"/>
        <s v="OC11CPOS"/>
        <s v="OC11C_DT"/>
        <s v="OC11CPRS"/>
        <s v="OC11CPRM"/>
        <s v="OC11CASP"/>
        <s v="OC11CASH"/>
        <s v="OC11CASR"/>
        <s v="OC11CLSZ"/>
        <s v="OC11ISED"/>
        <s v="OC11AFCL"/>
        <s v="OC11AFFH"/>
        <s v="OC11AFAM"/>
        <s v="OC11AFGR"/>
        <s v="OC11AFNR"/>
        <s v="SITENM"/>
        <s v="Increment"/>
        <s v="OM3MFS"/>
        <s v="OM3ADQL"/>
        <s v="OM3T1_1"/>
        <s v="OM3T1_2"/>
        <s v="OM3T1_3"/>
        <s v="OM3T1_"/>
        <s v="OM3T2_1"/>
        <s v="OM3T2_2"/>
        <s v="OM3T2_3"/>
        <s v="OM3T2_"/>
        <s v="OM3T2FL_1"/>
        <s v="OM3T2FL_2"/>
        <s v="OM3T2FL_3"/>
        <s v="OM3T2FL_"/>
        <s v="OM3GRESW_1"/>
        <s v="OM3GRESW_2"/>
        <s v="OM3GRESW_3"/>
        <s v="OM3GRESW_"/>
        <s v="OM3SPGR_1"/>
        <s v="OM3SPGR_2"/>
        <s v="OM3SPGR_3"/>
        <s v="OM3SPGR_"/>
        <s v="OM3DWI"/>
        <s v="OM3ADC"/>
        <s v="OM3MRS"/>
        <s v="OM3OTHR"/>
        <s v="OM3OTHS"/>
        <s v="OM3OVERD"/>
        <s v="OM3SIGABN"/>
        <s v="OM3CERAT"/>
        <s v="OM3CERATGL"/>
        <s v="OM3CERRG"/>
        <s v="OM3QACCT"/>
        <s v="OM3QAVDL"/>
        <s v="OM3QAVDR"/>
        <s v="OM3INFAR"/>
        <s v="OM3INFCAT_1"/>
        <s v="OM3INFCAT_2"/>
        <s v="OM3MIDSH"/>
        <s v="OM3BGT"/>
        <s v="OM3PLIC"/>
        <s v="OM3WATER"/>
        <s v="OM3WMI"/>
        <s v="OM3EXTENT"/>
        <s v="OM3LATR"/>
        <s v="OM3COMM"/>
        <s v="use_pi"/>
        <s v="OM1MRIA"/>
        <s v="OM1MRIW"/>
        <s v="OM1COMM"/>
        <s v="OM1MRIR"/>
        <s v="OM1MRIS"/>
        <s v="MRI_2cat"/>
        <s v="use_MRIage"/>
        <s v="use_od"/>
        <s v="mri_subgrp"/>
        <s v="mri_abn"/>
        <s v="new_patt"/>
        <s v="all_cere"/>
        <s v="bel_max"/>
        <s v="bg_max"/>
        <s v="bs_max"/>
        <s v="cc_max"/>
        <s v="cereb_any"/>
        <s v="cr_max"/>
        <s v="edema"/>
        <s v="ex_max"/>
        <s v="extent_num"/>
        <s v="fp_max"/>
        <s v="frontal"/>
        <s v="hemi_lat"/>
        <s v="hip_max"/>
        <s v="hy_max"/>
        <s v="ins_max"/>
        <s v="lateral_num"/>
        <s v="new_bgt"/>
        <s v="new_plic"/>
        <s v="new_water"/>
        <s v="new_wmi"/>
        <s v="occip"/>
        <s v="op_max"/>
        <s v="oth_max"/>
        <s v="other_cere"/>
        <s v="para_max"/>
        <s v="pariet"/>
        <s v="per_max"/>
        <s v="peri_max"/>
        <s v="pit_max"/>
        <s v="po_max"/>
        <s v="pt_max"/>
        <s v="s_max"/>
        <s v="t_max"/>
        <s v="tempo"/>
        <s v="to_max"/>
        <s v="use_atrophy"/>
        <s v="use_ccthin"/>
        <s v="use_global"/>
        <s v="use_infarc"/>
        <s v="use_hemi"/>
        <s v="use_vd"/>
        <s v="vas_max"/>
        <s v="vent_max"/>
        <s v="OC13STAT"/>
        <s v="OC13SDAT"/>
        <s v="OC13DDAT"/>
        <s v="OC13WGHT"/>
        <s v="OC13LGTH"/>
        <s v="OC13CIRC"/>
        <s v="OC13RTRS"/>
        <s v="OC13OUTC"/>
        <s v="OC13DEDA"/>
        <s v="OC13DETM"/>
        <s v="age_death"/>
        <s v="OC13DEAP"/>
        <s v="OC13COD"/>
        <s v="OC13CODS"/>
        <s v="OC13SOI"/>
        <s v="OC13CARD"/>
        <s v="OC13CFAI"/>
        <s v="OC13CDYS"/>
        <s v="OC13CISC"/>
        <s v="OC13HYPO"/>
        <s v="OC13ARRH"/>
        <s v="any_inot"/>
        <s v="OC13MASY"/>
        <s v="OC13PPHN"/>
        <s v="OC13PHEM"/>
        <s v="OC13PNEU"/>
        <s v="OC13CHLD"/>
        <s v="OC13ECMO"/>
        <s v="OC13INO"/>
        <s v="OC13DVEN"/>
        <s v="OC13DOXY"/>
        <s v="OC13DCPA"/>
        <s v="OC13HDIC"/>
        <s v="OC13HYGL"/>
        <s v="OC13HYCA"/>
        <s v="OC13HYPM"/>
        <s v="OC13ROLI"/>
        <s v="OC13RANU"/>
        <s v="OC13RDIA"/>
        <s v="OC13DEFS"/>
        <s v="OC13DTFE"/>
        <s v="OC13FLNP"/>
        <s v="OC13FNDL"/>
        <s v="OC13NEC"/>
        <s v="OC13HPDY"/>
        <s v="OC13ALIN"/>
        <s v="OC13ERYT"/>
        <s v="OC13EODA"/>
        <s v="OC13ERDA"/>
        <s v="OC13SCLE"/>
        <s v="OC13SCOD"/>
        <s v="OC13SCRD"/>
        <s v="OC13CYAN"/>
        <s v="OC13CODA"/>
        <s v="OC13CRDA"/>
        <s v="OC13SUFN"/>
        <s v="OC13SUOD"/>
        <s v="OC13SURD"/>
        <s v="OC13HEAT"/>
        <s v="OC13HTRS"/>
        <s v="OC13MJSU"/>
        <s v="OC13SUC1"/>
        <s v="OC13SEPT"/>
        <s v="OC13SOR1"/>
        <s v="OC13ME"/>
        <s v="OC13MEO1"/>
        <s v="OC13SEIZ"/>
        <s v="OC13SPRI"/>
        <s v="OC13SAFT"/>
        <s v="OC13SDMP"/>
        <s v="OC13SDRW"/>
        <s v="OC13SAAB"/>
        <s v="OC13EEG"/>
        <s v="OC13FCON"/>
        <s v="OC13CDAT"/>
        <s v="OC13CTIM"/>
        <s v="OC13ABBK"/>
        <s v="OC13ADAT"/>
        <s v="OC13ATIM"/>
        <s v="OC13ANCV"/>
        <s v="any_antic"/>
        <s v="OC13SMDI"/>
        <s v="OC13BD1"/>
        <s v="OC13HOTH"/>
        <s v="OC13HTVE"/>
        <s v="OC13HTOX"/>
        <s v="OC13HTTF"/>
        <s v="OC13HTGT"/>
        <s v="OC13MTTB"/>
        <s v="OC13HTAM"/>
        <s v="OC13HRO"/>
        <s v="OC13HTOS"/>
        <s v="OC13SWD"/>
        <s v="OC13SWDD"/>
        <s v="OC13SWDT"/>
        <s v="OC13WSUF"/>
        <s v="OC13WSDE"/>
        <s v="OC13WSNE"/>
        <s v="OC13WSIS"/>
        <s v="OC13WSEF"/>
        <s v="OC13WSMS"/>
        <s v="OC13WSBB"/>
        <s v="OC13WSPW"/>
        <s v="OC13WSO"/>
        <s v="OC13WSOS"/>
        <s v="OC13LOC"/>
        <s v="OC13DBCT"/>
        <s v="OC13LBFA"/>
        <s v="OC13NFMV"/>
        <s v="OC13NFBM"/>
        <s v="OC13NFME"/>
        <s v="OC13NFCC"/>
        <s v="OC13NFEM"/>
        <s v="OC13DNR"/>
        <s v="OC13DNRD"/>
        <s v="OC13DNRT"/>
        <s v="CFVISDT"/>
        <s v="CFBRTHDT"/>
        <s v="CFCHRAGE"/>
        <s v="CFADJAGE"/>
        <s v="CFSUPER"/>
        <s v="CFCARE"/>
        <s v="CFOCAR"/>
        <s v="CFMARITL"/>
        <s v="CFLIVING"/>
        <s v="CFPEOPLE"/>
        <s v="NF3MONEY"/>
        <s v="CFGRPCAR"/>
        <s v="CFGROCAR"/>
        <s v="CFWKPCAR"/>
        <s v="CFWKOCAR"/>
        <s v="CFSCCARE"/>
        <s v="CFSCADUL"/>
        <s v="CFINSUR"/>
        <s v="CFLANG"/>
        <s v="CFOTHLAN"/>
        <s v="CFSECLAN"/>
        <s v="CFSECOND"/>
        <s v="CFOTHSEC"/>
        <s v="CFNMPLLV"/>
        <s v="CFNURSEV"/>
        <s v="CFNDNRSV"/>
        <s v="CFNURSEH"/>
        <s v="CFNDNRSH"/>
        <s v="CFOTPT"/>
        <s v="CFNDOTPT"/>
        <s v="CFSPEECH"/>
        <s v="CFNDSPCH"/>
        <s v="CFEARLY"/>
        <s v="CFNDEALY"/>
        <s v="CFSOCIAL"/>
        <s v="CFNDSOCL"/>
        <s v="CFCVPUL"/>
        <s v="CFNDPUL"/>
        <s v="CFCVOPH"/>
        <s v="CFNDOPH"/>
        <s v="CFCVGAS"/>
        <s v="CFNDGAS"/>
        <s v="CFCVAUD"/>
        <s v="CFNDAUD"/>
        <s v="CFCVNEU"/>
        <s v="CFNDNEU"/>
        <s v="CFCVOTH"/>
        <s v="CFNDOTH"/>
        <s v="CFCVOSP"/>
        <s v="CFEVAL"/>
        <s v="CFNDEVAL"/>
        <s v="CFREGDR"/>
        <s v="CFCCFAC"/>
        <s v="CFCAROT"/>
        <s v="CFTRDYCR"/>
        <s v="CFTRDCHR"/>
        <s v="CFSPDYCR"/>
        <s v="CFSPDCHR"/>
        <s v="CFSPDCLC"/>
        <s v="CFHMDYCR"/>
        <s v="CFHMDCHR"/>
        <s v="CFHMDCLC"/>
        <s v="CFBBYSIT"/>
        <s v="CFBSITHR"/>
        <s v="CFBABSTR"/>
        <s v="CFPLACE"/>
        <s v="CFCOMPDT"/>
        <s v="DFREHOSP"/>
        <s v="DFTIMES"/>
        <s v="DFOPERAT"/>
        <s v="DFOPTYMP"/>
        <s v="DFOPTRAC"/>
        <s v="DFOP_EYE"/>
        <s v="DFOPEYER"/>
        <s v="DFOPHERN"/>
        <s v="DFOPGAST"/>
        <s v="DFOPFUND"/>
        <s v="DFOPSHUN"/>
        <s v="DFOPREAN"/>
        <s v="DFOPPDA"/>
        <s v="DFOPBRON"/>
        <s v="DFOPHYPO"/>
        <s v="DFOPOTH"/>
        <s v="DFOPOTHS"/>
        <s v="DFMEDIC"/>
        <s v="NF4NUTRI"/>
        <s v="NF4CALOR"/>
        <s v="NF4DIUR"/>
        <s v="NF4RFLUX"/>
        <s v="NF4BRONC"/>
        <s v="DFIHSTRD"/>
        <s v="DFOLSTRD"/>
        <s v="DFOASMA"/>
        <s v="DFALGYMD"/>
        <s v="NF4ANTCV"/>
        <s v="DFPRANTI"/>
        <s v="DFANTBIO"/>
        <s v="DFCNSPAT"/>
        <s v="DFBPMED"/>
        <s v="DFTHYRD"/>
        <s v="DFMRELAX"/>
        <s v="DFBOTOX"/>
        <s v="NF4OTMDS"/>
        <s v="NF4OTHSP"/>
        <s v="DFSEIZ"/>
        <s v="DFRECVD"/>
        <s v="DFAPNEA"/>
        <s v="DFOXYGEN"/>
        <s v="DFVENT"/>
        <s v="DFTUBE"/>
        <s v="DFTRACH"/>
        <s v="DFPLSEOX"/>
        <s v="DFFLUSHT"/>
        <s v="DFRSVPRO"/>
        <s v="DFSELF"/>
        <s v="DFASSIST"/>
        <s v="DFTUBFED"/>
        <s v="DF_TPN"/>
        <s v="DF_MILK"/>
        <s v="DFTBLFOD"/>
        <s v="DFSFTFOD"/>
        <s v="DFLIQUID"/>
        <s v="DFTHKLQD"/>
        <s v="OF4FTNEC"/>
        <s v="DFEQUIP"/>
        <s v="DFSTROLL"/>
        <s v="DFBRACES"/>
        <s v="DFWALKER"/>
        <s v="DFSTNDER"/>
        <s v="DFCNRCHR"/>
        <s v="EFWEIGHT"/>
        <s v="EFLENGTH"/>
        <s v="EFHC"/>
        <s v="NF5STRRT"/>
        <s v="NF5STRLT"/>
        <s v="NF5NYSRT"/>
        <s v="NF5NYSLT"/>
        <s v="NF5ROVRT"/>
        <s v="NF5ROVLT"/>
        <s v="NF5TRKRT"/>
        <s v="NF5TRKLT"/>
        <s v="EFVISINR"/>
        <s v="EFVISINL"/>
        <s v="EFAUDIO"/>
        <s v="EFCONPEN"/>
        <s v="NF5VRA"/>
        <s v="NF5VRART"/>
        <s v="NF5VRALT"/>
        <s v="NF5VRASN"/>
        <s v="NF5ABR"/>
        <s v="NF5ABRRT"/>
        <s v="NF5ABRLT"/>
        <s v="NF5UKHR"/>
        <s v="NF5UKHRT"/>
        <s v="NF5UKHLT"/>
        <s v="EFHEARIM"/>
        <s v="EFHRDIS"/>
        <s v="OFIMPLAN"/>
        <s v="EFSWALL"/>
        <s v="NF5DYSPH"/>
        <s v="NF5ASPIR"/>
        <s v="NF5ABVOC"/>
        <s v="NF5DROOL"/>
        <s v="NF5NPO"/>
        <s v="EFABREST"/>
        <s v="EFSHORTR"/>
        <s v="EFSLOWR"/>
        <s v="EFTREMRR"/>
        <s v="NF5NCTRK"/>
        <s v="NF5UPEXR"/>
        <s v="NF5UPEXL"/>
        <s v="NF5HPKNR"/>
        <s v="NF5HPKNL"/>
        <s v="NF5ANKLR"/>
        <s v="NF5ANKLL"/>
        <s v="NF5SCISS"/>
        <s v="NF5HNDPF"/>
        <s v="NF5PRORF"/>
        <s v="NF5LMBUP"/>
        <s v="NF5LMBLW"/>
        <s v="NF5UPRRT"/>
        <s v="NF5UPRLT"/>
        <s v="NF5KNERT"/>
        <s v="NF5KNELT"/>
        <s v="NF5AKLRT"/>
        <s v="NF5AKLLT"/>
        <s v="NF5CLNRT"/>
        <s v="NF5CLNLT"/>
        <s v="NF5PLNRT"/>
        <s v="NF5PLNLT"/>
        <s v="EFAXISHD"/>
        <s v="EFAXTRNK"/>
        <s v="EFLWRLMB"/>
        <s v="EFUPRLMB"/>
        <s v="EFRHAND"/>
        <s v="EFLHAND"/>
        <s v="EFDGNORM"/>
        <s v="EFHYPOT"/>
        <s v="EFHYPERT"/>
        <s v="EFOTHER"/>
        <s v="NF5OCPSP"/>
        <s v="EFDIPLEG"/>
        <s v="EFHEMRT"/>
        <s v="EFHEMLT"/>
        <s v="EFQUADR"/>
        <s v="OF5DYSTO"/>
        <s v="OF5ATCHA"/>
        <s v="OF5ATAXI"/>
        <s v="OFCPUN"/>
        <s v="OFCPUNDE"/>
        <s v="OFCERPAL"/>
        <s v="OFCLPAL"/>
        <s v="EFCONGEN"/>
        <s v="EFCONGSP"/>
        <s v="EFPLACE"/>
        <s v="NF5LOCSP"/>
        <s v="NF5QUALT"/>
        <s v="NF5FACTR"/>
        <s v="NF5FACSP"/>
        <s v="EFCOMPDT"/>
        <s v="NF9ACSU"/>
        <s v="NF9ACSUR"/>
        <s v="NF9ACSUS"/>
        <s v="NF9ALRC"/>
        <s v="NF9ALRCR"/>
        <s v="NF9ALRCS"/>
        <s v="NF9ALEC"/>
        <s v="NF9ALECR"/>
        <s v="NF9ALECS"/>
        <s v="NF9AMFN"/>
        <s v="NF9AMFNR"/>
        <s v="NF9AMFNS"/>
        <s v="NF9AMGR"/>
        <s v="NF9AMGRR"/>
        <s v="NF9AMGRS"/>
        <s v="NF9AAACS"/>
        <s v="NF9AAARC"/>
        <s v="NF9AAAEC"/>
        <s v="NF9AAAMF"/>
        <s v="NF9AAAMG"/>
        <s v="NF9ABSCR"/>
        <s v="NF9ABSCS"/>
        <s v="NF9ABSCC"/>
        <s v="NF9ABSRR"/>
        <s v="NF9ABSRS"/>
        <s v="NF9ABSER"/>
        <s v="NF9ABSES"/>
        <s v="NF9ABSLS"/>
        <s v="NF9ABSLC"/>
        <s v="NF9AMFRW"/>
        <s v="NF9AMFSS"/>
        <s v="NF9AMGRW"/>
        <s v="NF9AMGSS"/>
        <s v="NF9AMGSM"/>
        <s v="NF9AMCMP"/>
        <s v="NF9ABSEN"/>
        <s v="NF9ABSIN"/>
        <s v="NF9ABSMK"/>
        <s v="NF9AWEC"/>
        <s v="NF9ADATE"/>
        <s v="NF5GROSS"/>
        <s v="NF10VSDT"/>
        <s v="JFBRTDT"/>
        <s v="JFSTATUS"/>
        <s v="JFDTHDT"/>
        <s v="OFCAUSOD"/>
        <s v="JFREASN"/>
        <s v="KFFSTDT"/>
        <s v="KFSECDT"/>
        <s v="DFREADNM"/>
        <s v="DFTIMEA"/>
        <s v="DFCAUSE"/>
        <s v="NF4AROTS"/>
        <s v="OFLENOHS"/>
        <s v="OFTIMICU"/>
        <s v="LFOSOURC"/>
        <s v="LFCONTDT"/>
        <s v="LFCOMPDT"/>
        <s v="LFALIVE"/>
        <s v="LFADJAGE"/>
        <s v="LFDTHDT"/>
        <s v="LFINTERV"/>
        <s v="LFINTDT"/>
        <s v="LFINTAGE"/>
        <s v="LFCHART2"/>
        <s v="LFCHARDT"/>
        <s v="LFCHARAG"/>
        <s v="LFHEALTH"/>
        <s v="LFWALK"/>
        <s v="LFWKAGE"/>
        <s v="LFSITTIN"/>
        <s v="LFHEAD"/>
        <s v="LFSEE"/>
        <s v="LFEYEQ"/>
        <s v="NF12GLAS"/>
        <s v="LFHEAR"/>
        <s v="LFHEARQ"/>
        <s v="LFHEAIDQ"/>
        <s v="NF12NMWD"/>
        <s v="NF12C2WD"/>
        <s v="NF12C3WD"/>
        <s v="LFHYDROQ"/>
        <s v="LFCPQ"/>
        <s v="LFDEVDQ"/>
        <s v="LFLANDQ"/>
        <s v="LFWEIGHQ"/>
        <s v="LFSEIZUQ"/>
        <s v="LFBLINDQ"/>
        <s v="NF12BHPB"/>
        <s v="NF12BHDS"/>
        <s v="NF12MDPB"/>
        <s v="NF12MDDS"/>
        <s v="NF12NRPB"/>
        <s v="NF12NRDS"/>
        <s v="OF12GMFL"/>
        <s v="LFEYEC"/>
        <s v="LFHEARC"/>
        <s v="LFHEAIDC"/>
        <s v="LFHYDROC"/>
        <s v="LFCPC"/>
        <s v="LFDEVDEC"/>
        <s v="LFLANDEC"/>
        <s v="LFWEIGHC"/>
        <s v="LFSEIZUC"/>
        <s v="NF12BLND"/>
        <s v="NF12CHBH"/>
        <s v="NF12CHBD"/>
        <s v="NF12CHMM"/>
        <s v="NF12CHMD"/>
        <s v="NF12CHNR"/>
        <s v="NF12CHND"/>
        <s v="OF12CHGM"/>
        <s v="blindness"/>
        <s v="modsevcp"/>
        <s v="cp_out"/>
        <s v="gas_tube"/>
        <s v="gross"/>
        <s v="hear_imp"/>
        <s v="hearing"/>
        <s v="mult_imp"/>
        <s v="seiz_fu"/>
        <s v="adjudicate"/>
        <s v="all_norm"/>
        <s v="b3_lang"/>
        <s v="b3_motor"/>
        <s v="bayley3"/>
        <s v="death18"/>
        <s v="hosp_die"/>
        <s v="disab_4"/>
        <s v="disab_die4"/>
        <s v="disab_die"/>
        <s v="disab_ms"/>
        <s v="out_grp"/>
      </sharedItems>
    </cacheField>
    <cacheField name="display_type" numFmtId="0">
      <sharedItems containsBlank="1">
        <s v="text"/>
        <s v="number"/>
        <s v="boolean"/>
        <s v="nomial"/>
        <s v="date"/>
        <s v="time"/>
        <s v="ordinal"/>
        <m/>
      </sharedItems>
    </cacheField>
    <cacheField name="sheet" numFmtId="0">
      <sharedItems containsBlank="1">
        <s v="main"/>
        <s v="follow-up"/>
        <m/>
      </sharedItems>
    </cacheField>
    <cacheField name="subcategory" numFmtId="0">
      <sharedItems containsBlank="1">
        <m/>
        <s v="Screening"/>
        <s v="Maternal Demographics"/>
        <s v="Pregnancy History"/>
        <s v="Labor Delivery"/>
        <s v="Birth"/>
        <s v="Temperature"/>
        <s v="Cardiovascular"/>
        <s v="Infection"/>
        <s v="Other Medication"/>
        <s v="Imaging"/>
        <s v="Neuro Exam"/>
        <s v="Respiratory"/>
        <s v="Blood Gas"/>
        <s v="Hematology CBC"/>
        <s v="Blood Value"/>
        <s v="Elevated Temperature"/>
        <s v="Fluctuated Temperature"/>
        <s v="Bradycardia"/>
        <s v="Adverse Event"/>
        <s v="Violation"/>
        <s v="Interrupt"/>
        <s v="Discontinue"/>
        <s v="MRI"/>
        <s v="Status"/>
        <s v="Metabolic"/>
        <s v="Renal"/>
        <s v="Gastrointestinal"/>
        <s v="Skin"/>
        <s v="Auditory"/>
        <s v="Surgery"/>
        <s v="Seizure"/>
        <s v="Birth Defect"/>
        <s v="Home Therapy"/>
        <s v="Withdrawal of Support"/>
        <s v="Limitation of Care"/>
        <s v="SES"/>
        <s v="Medical History"/>
        <s v="Medical Exam"/>
        <s v="Bayley-III"/>
        <s v="GMFCS"/>
        <s v="Readmission"/>
        <s v="Lost Followup"/>
        <s v="Secondary"/>
        <s v="Outcome"/>
      </sharedItems>
    </cacheField>
    <cacheField name="category" numFmtId="0">
      <sharedItems containsBlank="1">
        <m/>
        <s v="Pre-intervention"/>
        <s v="Intervention"/>
        <s v="Post-intervention"/>
        <s v="NICU Discharge"/>
        <s v="Follow Up"/>
      </sharedItems>
    </cacheField>
    <cacheField name="summary" numFmtId="0">
      <sharedItems containsBlank="1">
        <m/>
        <b v="1"/>
      </sharedItems>
    </cacheField>
    <cacheField name="type" numFmtId="0">
      <sharedItems containsBlank="1">
        <s v="text"/>
        <s v="int"/>
        <s v="bool"/>
        <s v="consentStatus"/>
        <s v="date"/>
        <s v="time"/>
        <s v="float"/>
        <s v="treatmentAssign"/>
        <s v="blanketType"/>
        <s v="race"/>
        <s v="ethnicity"/>
        <s v="maritalStatus"/>
        <s v="education"/>
        <s v="insurance"/>
        <s v="deliveryMode"/>
        <s v="antibiotics"/>
        <s v="encephalopathyLevel"/>
        <s v="infantAge"/>
        <s v="infantSex"/>
        <s v="spontaneousRespirationTime"/>
        <s v="cordBloodGasSrc"/>
        <s v="bloodGasSrc"/>
        <s v="initBloodGasSrc"/>
        <s v="targetTreatmentTemperature"/>
        <s v="positiveCultureSrc"/>
        <s v="positiveCultureOrganism"/>
        <s v="anticonvulsants"/>
        <s v="analgesics"/>
        <s v="antipyretics"/>
        <s v="paralytics"/>
        <s v="imaging"/>
        <s v="noNeuroExamReason"/>
        <s v="signOfHIELvlOfCons"/>
        <s v="signOfHIESpontaneousActivity"/>
        <s v="signOfHIEPosture"/>
        <s v="signOfHIETone"/>
        <s v="signOfHIESuck"/>
        <s v="signOfHIEMoro"/>
        <s v="signOfHIEPupils"/>
        <s v="signOfHIEHeartRate"/>
        <s v="signOfHIERespiratory"/>
        <s v="respiratorySupportType"/>
        <s v="elevatedTempDevice"/>
        <s v="elevatedTempDeviceMode"/>
        <s v="elevatedTempNoBathReason"/>
        <s v="bradycardiaEKGResult"/>
        <s v="bradycardiaDuration"/>
        <s v="bradycardiaHeartRateMin"/>
        <s v="SAEAttributable"/>
        <s v="SAEAction"/>
        <s v="SAEOutcome"/>
        <s v="SAEAlterationSkinIntegrity"/>
        <s v="violationNature"/>
        <s v="violationCircumstance"/>
        <s v="interruptReason"/>
        <s v="coolAfterIntervention"/>
        <s v="MRIOverallDiagnosis"/>
        <s v="MRICerebralAtrophyGlobalLocal"/>
        <s v="MRICerebralAtrophyRegion"/>
        <s v="MRISeverity"/>
        <s v="MRIALICPLICSeverity"/>
        <s v="MRIInjurySeverity"/>
        <s v="MRINRNPatternOfInjuryExtent"/>
        <s v="MRINRNPatternOfInjuryLateral"/>
        <s v="MRINRNPatternOfInjury"/>
        <s v="MRIObtainWindow"/>
        <s v="MRINoObtainReason"/>
        <s v="MRI2LevelPatternOfInjury"/>
        <s v="MRINRNPatternOfInjuryWSvsBGT"/>
        <s v="MRILesion"/>
        <s v="MRIAbnormalExtent"/>
        <s v="MRIAbnormalSide"/>
        <s v="status"/>
        <s v="transferReason"/>
        <s v="transferOutcome"/>
        <s v="deathCause"/>
        <s v="deathSrc"/>
        <s v="surgery"/>
        <s v="birthDefect"/>
        <s v="relationship"/>
        <s v="livingArrange"/>
        <s v="totalIncome"/>
        <s v="language"/>
        <s v="receive"/>
        <s v="homeCareLocation"/>
        <s v="babysitterRelation"/>
        <s v="interviewLocation"/>
        <s v="eyeSurgeryReason"/>
        <s v="medicationUse"/>
        <s v="eye"/>
        <s v="vision"/>
        <s v="hearing"/>
        <s v="hearingImpaired"/>
        <s v="hearingAid"/>
        <s v="swallow"/>
        <s v="passiveMuscleTone"/>
        <s v="handPreference"/>
        <s v="protectiveReaction"/>
        <s v="limbMovement"/>
        <s v="deepTendonReflex"/>
        <s v="ankleClonus"/>
        <s v="plantarReflex"/>
        <s v="axisHeadNeck"/>
        <s v="axisTrunk"/>
        <s v="lowerLimbFunction"/>
        <s v="upperLimbFunction"/>
        <s v="handFunction"/>
        <s v="cerebralPalsyClass"/>
        <s v="examQuality"/>
        <s v="examFactorAffecting"/>
        <s v="BayleyIIIReasonNoSuccess"/>
        <s v="grossMotorFunctionLevel"/>
        <s v="followupStatus"/>
        <s v="reasonLossFollowUp"/>
        <s v="readmissionTimePeriod"/>
        <s v="readmissionPrimaryCause"/>
        <s v="readmissionLengthOfStay"/>
        <s v="childHealth"/>
        <s v="chartReview"/>
        <s v="severity"/>
        <s v="flagAdjudicatedOutcome"/>
        <s v="outcomeGroup"/>
        <m/>
      </sharedItems>
    </cacheField>
    <cacheField name="none" numFmtId="0">
      <sharedItems containsString="0" containsBlank="1" containsNumber="1" containsInteger="1">
        <n v="1.0"/>
        <n v="0.0"/>
        <m/>
      </sharedItems>
    </cacheField>
    <cacheField name="LH-only" numFmtId="0">
      <sharedItems containsString="0" containsBlank="1" containsNumber="1" containsInteger="1">
        <n v="0.0"/>
        <n v="1.0"/>
        <m/>
      </sharedItems>
    </cacheField>
    <cacheField name="OC-only" numFmtId="0">
      <sharedItems containsString="0" containsBlank="1" containsNumber="1" containsInteger="1">
        <n v="0.0"/>
        <n v="1.0"/>
        <m/>
      </sharedItems>
    </cacheField>
    <cacheField name="both" numFmtId="0">
      <sharedItems containsString="0" containsBlank="1" containsNumber="1" containsInteger="1">
        <n v="0.0"/>
        <n v="1.0"/>
        <m/>
      </sharedItems>
    </cacheField>
    <cacheField name="all" numFmtId="0">
      <sharedItems containsString="0" containsBlank="1" containsNumber="1" containsInteger="1">
        <n v="1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84" sheet="02-1-variable-type"/>
  </cacheSource>
  <cacheFields>
    <cacheField name="filename" numFmtId="0">
      <sharedItems containsBlank="1">
        <m/>
        <s v="01-02-screening.csv"/>
        <s v="01-03-maternal-demographics.csv"/>
        <s v="01-04-pregnancy-history.csv"/>
        <s v="01-05-labor-delivery.csv"/>
        <s v="01-06-birth.csv"/>
        <s v="01-07-pre-temperature.csv"/>
        <s v="01-08-pre-cardiovascular.csv"/>
        <s v="01-09-pre-infection.csv"/>
        <s v="01-10-pre-other-med.csv"/>
        <s v="01-11-pre-imaging.csv"/>
        <s v="01-12-neuro-exam.csv"/>
        <s v="01-12_1-total-modified-sarnat.csv"/>
        <s v="02-01-temperature.csv"/>
        <s v="02-02-cardiovascular.csv"/>
        <s v="02-03-respiratory.csv"/>
        <s v="02-04-blood-gas.csv"/>
        <s v="02-05-hematology.csv"/>
        <s v="02-05_s-hematology.csv"/>
        <s v="02-06_s-blood-value.csv"/>
        <s v="02-07-infection.csv"/>
        <s v="02-08-other-med.csv"/>
        <s v="02-09-imaging.csv"/>
        <s v="02-11-elevated-temperature.csv"/>
        <s v="02-12-fluctuated-temperature.csv"/>
        <s v="02-13-bradycardia.csv"/>
        <s v="02-14-adverse-event.csv"/>
        <s v="02-15-violation.csv"/>
        <s v="02-16-interrupt.csv"/>
        <s v="02-17-discontinue.csv"/>
        <s v="03-01-post-temperature.csv"/>
        <s v="03-01_s-post-temperature.csv"/>
        <s v="03-02-post-blood-value.csv"/>
        <s v="03-03-post-imaging.csv"/>
        <s v="03-04-post-neuro-exam.csv"/>
        <s v="03-04_1-total-modified-sarnat.csv"/>
        <s v="03-05-mri.csv"/>
        <s v="03-05_s-mri.csv"/>
        <s v="03-05_s1-mri.csv"/>
        <s v="04-01-status.csv"/>
        <s v="04-01_1-length-of-stay.csv"/>
        <s v="04-02-cardiovascular.csv"/>
        <s v="04-03-respiratory.csv"/>
        <s v="04-04-hematology.csv"/>
        <s v="04-05-metabolic.csv"/>
        <s v="04-06-renal.csv"/>
        <s v="04-07-gastrointestinal.csv"/>
        <s v="04-08-skin.csv"/>
        <s v="04-09-auditory.csv"/>
        <s v="04-10-surgery.csv"/>
        <s v="04-11-infection.csv"/>
        <s v="04-12-neuro-exam.csv"/>
        <s v="04-12_1-total-modified-sarnat.csv"/>
        <s v="04-13-seizure.csv"/>
        <s v="04-14-birth-defect.csv"/>
        <s v="04-15-home-therapy.csv"/>
        <s v="04-16-wdraw-support.csv"/>
        <s v="04-17-limit-care.csv"/>
        <s v="20-01-ses.csv"/>
        <s v="20-02-medical-history.csv"/>
        <s v="20-03-medical-exam.csv"/>
        <s v="20-04-bayley-iii.csv"/>
        <s v="20-05-gmfcs.csv"/>
        <s v="20-06-status.csv"/>
        <s v="20-07-readmission.csv"/>
        <s v="20-08-lost.csv"/>
        <s v="20-09-secondary.csv"/>
        <s v="20-10-outcome.csv"/>
        <s v="20-10_1-disability-level-death.csv"/>
      </sharedItems>
    </cacheField>
    <cacheField name="variable" numFmtId="0">
      <sharedItems containsBlank="1">
        <s v="_study"/>
        <s v="center"/>
        <s v="subjectID"/>
        <s v="followupCenter"/>
        <s v="followupID"/>
        <s v="birthNumber"/>
        <s v="screenComment"/>
        <s v="coreTempLess32p5CGreaterEq2Hr_e"/>
        <s v="coreTempLess33p5CGreater1Hr_e"/>
        <s v="coreTempLess34CGreater1Hr_e"/>
        <s v="first6HrCoolByClinicalProtocol_e"/>
        <s v="chromosomalAbnormality_e"/>
        <s v="majorCongenitalAnomaly_e"/>
        <s v="birthWeightLessEq1800g_e"/>
        <s v="infantUnlikelySurvive_e"/>
        <s v="first60MinAllBloodGasPHGreater7p15BaseDeficitLess10mEqPerL_e"/>
        <s v="postnatalAgeLess6HrOrGreater24Hr_e"/>
        <s v="enrolledConflictingTrial_e"/>
        <s v="first60MinAnyBloodGasPHLessEq7_i"/>
        <s v="first60MinAnyBloodGasBaseDeficitGreaterEq16mEqPerL_i"/>
        <s v="historyPerinatalEvent_i"/>
        <s v="at10MinApgarLessEq5OrVent_i"/>
        <s v="randomEligible"/>
        <s v="consentStatus"/>
        <s v="noConsentReason"/>
        <s v="noInStudyReason"/>
        <s v="random"/>
        <s v="noRandomReason"/>
        <s v="noRandomReasonText"/>
        <s v="randomDate"/>
        <s v="randomTime"/>
        <s v="ageRand_hr"/>
        <s v="randomNumber"/>
        <s v="randomTreatmentAssign"/>
        <s v="randomTreatmentReceive"/>
        <s v="treatmentBlanketType"/>
        <s v="treatmentAssignmentDuration_hr"/>
        <s v="treatmentAssignmentTemperature"/>
        <s v="usualCoolingTreatmentGroup"/>
        <s v="inOtherTrial"/>
        <s v="inOtherTrialText"/>
        <s v="motherAge_year"/>
        <s v="motherRace"/>
        <s v="motherEthnicity"/>
        <s v="motherMaritalStatus"/>
        <s v="motherEducation"/>
        <s v="motherInsurance"/>
        <s v="gravida"/>
        <s v="parity"/>
        <s v="multipleBirth"/>
        <s v="numFetus"/>
        <s v="prenatalCare"/>
        <s v="hypertensionEclampsia"/>
        <s v="antepartumHemorrhage"/>
        <s v="thyroidMalfunction"/>
        <s v="diabetes"/>
        <s v="maternalAdmissionDate"/>
        <s v="maternalAdmissionTime"/>
        <s v="ruptureDate"/>
        <s v="ruptureTime"/>
        <s v="ruptureGreater18Hr"/>
        <s v="ruptureBeforeDelivery"/>
        <s v="labor"/>
        <s v="laborOnsetDate"/>
        <s v="laborOnsetTime"/>
        <s v="deliveryMode"/>
        <s v="fetalDecelerate"/>
        <s v="cordMishap"/>
        <s v="uterineRupture"/>
        <s v="shoulderDystocia"/>
        <s v="placentalProblem"/>
        <s v="maternalHemorrhage"/>
        <s v="maternalTrauma"/>
        <s v="maternalCardioRespiratoryArrest"/>
        <s v="maternalSeizure"/>
        <s v="perinatalSentinelEvent"/>
        <s v="pyrexiaGreater37p6C"/>
        <s v="chorioamnionitis"/>
        <s v="placentalPathologyPerformed"/>
        <s v="histologicChorioamionitis"/>
        <s v="laborAntibiotics"/>
        <s v="laborAntibioticsCode1"/>
        <s v="emergencyCSection"/>
        <s v="encephalopathyLevel"/>
        <s v="randomInfantAge"/>
        <s v="birthWeight_g"/>
        <s v="birthLength_cm"/>
        <s v="birthHeadCircumference_cm"/>
        <s v="birthGestationalAge_week"/>
        <s v="infantSex"/>
        <s v="maleSex"/>
        <s v="infantOutborn"/>
        <s v="outbornInHospital"/>
        <s v="outbornOutHospital"/>
        <s v="neonateAdmissionDate"/>
        <s v="neonateAdmissionTime"/>
        <s v="Apgar1min"/>
        <s v="Apgar5min"/>
        <s v="Apgar10min"/>
        <s v="Apgar15min"/>
        <s v="Apgar20min"/>
        <s v="deliveryResuscitation"/>
        <s v="deliveryOxygen"/>
        <s v="deliveryBaggingAndMask"/>
        <s v="deliveryChestCompression"/>
        <s v="deliveryIntubation"/>
        <s v="deliveryDrug"/>
        <s v="at10MinContinueResuscitation"/>
        <s v="at10MinOxygen"/>
        <s v="at10MinBaggingAndMask"/>
        <s v="at10MinChestCompression"/>
        <s v="at10MinIntubation"/>
        <s v="at10MinDrug"/>
        <s v="spontaneousRespirationTime"/>
        <s v="cordBloodGas"/>
        <s v="cordBloodGasSrc"/>
        <s v="cordBloodGasPH"/>
        <s v="cordBloodGasPCO2_mmHg"/>
        <s v="cordBloodGasPO2_mmHg"/>
        <s v="cordBloodGasHCO3_mEqPerL"/>
        <s v="cordBloodGasBaseDeficit_mEqPerL"/>
        <s v="firstPostnatalBloodGas"/>
        <s v="firstPostnatalBloodGasSrc"/>
        <s v="firstPostnatalBloodGasDate"/>
        <s v="firstPostnatalBloodGasTime"/>
        <s v="firstPostnatalBloodGasPH"/>
        <s v="firstPostnatalBloodGasPCO2_mmHg"/>
        <s v="firstPostnatalBloodGasPO2_mmHg"/>
        <s v="firstPostnatalBloodGasHCO3_mEqPerL"/>
        <s v="firstPostnatalBloodGasBaseDeficit_mEqPerL"/>
        <s v="acidosis"/>
        <s v="Apgar10minLess5"/>
        <s v="Apgar10minLessEq5"/>
        <s v="Apgar5minLessEq5"/>
        <s v="initBloodGasBaseDeficit_mEqPerL"/>
        <s v="initBloodGasBaseDeficit_mEqPerLSrc"/>
        <s v="initBloodGasPH"/>
        <s v="initBloodGasPHSrc"/>
        <s v="birthDate"/>
        <s v="birthTime"/>
        <s v="targetTreatmentTemperature_C"/>
        <s v="pre_CoolInitiate"/>
        <s v="pre_CoolbyIceGelPack"/>
        <s v="pre_CoolPassively"/>
        <s v="pre_CoolClinically"/>
        <s v="pre_CoolInitiateDate"/>
        <s v="pre_CoolInitiateTime"/>
        <s v="pre_AfterOvershootReach33p5C"/>
        <s v="pre_AfterOvershootReach33p5CDate"/>
        <s v="pre_AfterOvershootReach33p5CTime"/>
        <s v="pre_TemperatureMinDate"/>
        <s v="pre_TemperatureMinTime"/>
        <s v="pre_SkinTemperatureMin_C"/>
        <s v="pre_AxillaryTemperatureMin_C"/>
        <s v="pre_EsophagealTemperatureMin_C"/>
        <s v="pre_ServoSetMin_C"/>
        <s v="pre_TemperatureMaxDate"/>
        <s v="pre_TemperatureMaxTime"/>
        <s v="pre_SkinTemperatureMax_C"/>
        <s v="pre_AxillaryTemperatureMax_C"/>
        <s v="pre_EsophagealTemperatureMax_C"/>
        <s v="pre_ServoSetMax_C"/>
        <s v="pre_CardioDate"/>
        <s v="pre_CardioTime"/>
        <s v="pre_CardioSystolicBloodPressure_mmHg"/>
        <s v="pre_CardioDiastolicBloodPressure_mmHg"/>
        <s v="pre_CardioHeartRate_BPM"/>
        <s v="pre_CardioVolumeExpand"/>
        <s v="pre_CardioInotropicAgent"/>
        <s v="pre_CardioBloodTransfusion"/>
        <s v="pre_CardioPlatelets"/>
        <s v="pre_PositiveCulture"/>
        <s v="pre_PositiveCultureSrc"/>
        <s v="pre_PositiveCultureDate"/>
        <s v="pre_PositiveCultureTime"/>
        <s v="pre_PositiveCultureOrganismCode1"/>
        <s v="pre_Antibiotics"/>
        <s v="pre_AntibioticsCode1"/>
        <s v="pre_OtherMedTargetDate"/>
        <s v="pre_OtherMedTargetTime"/>
        <s v="pre_Anticonvulsants1"/>
        <s v="pre_AnalgesicsSedatives1"/>
        <s v="pre_Antipyretics1"/>
        <s v="pre_Paralytics1"/>
        <s v="pre_OtherMedFluidIntake_ccPerKg"/>
        <s v="pre_OtherMedUrineOutput_ccPerKg"/>
        <s v="pre_HeadSonogram"/>
        <s v="pre_HeadSonogramDate"/>
        <s v="pre_HeadSonogramTime"/>
        <s v="pre_HeadSonogramResult1"/>
        <s v="pre_HeadSonogramResultText"/>
        <s v="pre_HeadCT"/>
        <s v="pre_HeadCTDate"/>
        <s v="pre_HeadCTTime"/>
        <s v="pre_HeadCTResult1"/>
        <s v="pre_HeadCTResultText"/>
        <s v="pre_BrainMRI"/>
        <s v="pre_BrainMRIDate"/>
        <s v="pre_BrainMRITime"/>
        <s v="pre_BrainMRIResult1"/>
        <s v="pre_BrainMRIResultText"/>
        <s v="pre_NeuroExam"/>
        <s v="pre_NoNeuroExamReason"/>
        <s v="pre_NeuroExamSignModerateSevereHIE3Category"/>
        <s v="pre_NeuroExamLevelConsciousness"/>
        <s v="pre_NeuroExamSpontaneousActivity"/>
        <s v="pre_NeuroExamPosture"/>
        <s v="pre_NeuroExamTone"/>
        <s v="pre_NeuroExamSuck"/>
        <s v="pre_NeuroExamMoro"/>
        <s v="pre_NeuroExamPupils"/>
        <s v="pre_NeuroExamHeartRate"/>
        <s v="pre_NeuroExamRespiration"/>
        <s v="pre_NeuroExamDate"/>
        <s v="pre_NeuroExamTime"/>
        <s v="pre_NeuroExamSedate"/>
        <s v="pre_NeuroExamSeizure"/>
        <s v="pre_NeuroExamReflexScore"/>
        <s v="pre_NeuroExamANSScore"/>
        <s v="pre_TotalModifiedSarnatScore"/>
        <s v="temperatureTimeSlot_min"/>
        <s v="temperatureTimeSlotNoForm"/>
        <s v="temperatureDate"/>
        <s v="temperatureTime"/>
        <s v="skinTemperature_C"/>
        <s v="axillaryTemperature_C"/>
        <s v="esophagealTemperature_C"/>
        <s v="blanketTemperature_C"/>
        <s v="servoSetTemperature_C"/>
        <s v="alterationSkinIntegrity"/>
        <s v="shiver"/>
        <s v="cardioTimeSlot_min"/>
        <s v="cardioDate"/>
        <s v="cardioTime"/>
        <s v="cardioSystolicBloodPressure_mmHg"/>
        <s v="cardioDiastolicBloodPressure_mmHg"/>
        <s v="cardioHeartRate_BPM"/>
        <s v="cardioVolumeExpand"/>
        <s v="cardioInotropicAgent"/>
        <s v="cardioBloodTransfusion"/>
        <s v="cardioPlatelets"/>
        <s v="respiratoryTimeSlot_min"/>
        <s v="respiratoryDate"/>
        <s v="respiratoryTime"/>
        <s v="respiratorySupportType"/>
        <s v="respiratoryFiO2"/>
        <s v="respiratoryRate_Hz"/>
        <s v="respiratoryPIP_cmH2O"/>
        <s v="respiratoryMAP_cmH2O"/>
        <s v="respiratoryPEEP_cmH2O"/>
        <s v="bloodGasTimeSlot_min"/>
        <s v="bloodGasDate"/>
        <s v="bloodGasTime"/>
        <s v="bloodGasSrc"/>
        <s v="bloodGasPH"/>
        <s v="bloodGasPCO2_mmHg"/>
        <s v="bloodGasPO2_mmHg"/>
        <s v="bloodGasHCO3_mEqPerL"/>
        <s v="bloodGasBaseDeficit_mEqPerL"/>
        <s v="bloodGasPHCorrect"/>
        <s v="bloodGasPCO2Correct_mmHg"/>
        <s v="bloodGasPO2Correct_mmHg"/>
        <s v="bloodGasHCO3Correct_mEqPerL"/>
        <s v="bloodGasBaseDeficitCorrect_mEqPerL"/>
        <s v="hematology"/>
        <s v="hematologyTimeSlot_min"/>
        <s v="hematologyDate"/>
        <s v="hematologyTime"/>
        <s v="hematologyWBC_cPermuL"/>
        <s v="hematologyHemoglobin_gPerdL"/>
        <s v="hematologyPolymorphNeutrophils_cPermuL"/>
        <s v="hematologyMonocytes_cPermuL"/>
        <s v="hematologyLymphocytes_cPermuL"/>
        <s v="hematologyPlatelet_cPermuL"/>
        <s v="hematologyPT_s"/>
        <s v="hematologyPTT_s"/>
        <s v="hematologyHematocritMin"/>
        <s v="hematologyHematocritMinDate"/>
        <s v="hematologyPlateletMin_cPermuL"/>
        <s v="hematologyPlateletMin_cPermuLDate"/>
        <s v="bloodValueBunBaseline_mgPerdL"/>
        <s v="bloodValueBunBaseline_mgPerdLDate"/>
        <s v="bloodValueCreatinineBaseline_mgPerdL"/>
        <s v="bloodValueCreatinineBaseline_mgPerdLDate"/>
        <s v="bloodValueASTSGOTBaseline_UPerL"/>
        <s v="bloodValueASTSGOTBaseline_UPerLDate"/>
        <s v="bloodValueALTSGPTBaseline_UPerL"/>
        <s v="bloodValueALTSGPTBaseline_UPerLDate"/>
        <s v="bloodValueTotalBilirubinBaseline_mgPerdL"/>
        <s v="bloodValueTotalBilirubinBaseline_mgPerdLDate"/>
        <s v="bloodValuePHMin"/>
        <s v="bloodValuePHMinDate"/>
        <s v="bloodValueHCO3Min_mEqPerL"/>
        <s v="bloodValueHCO3Min_mEqPerLDate"/>
        <s v="bloodValueSerumNaMin_mEqPerL"/>
        <s v="bloodValueSerumNaMin_mEqPerLDate"/>
        <s v="bloodValueSerumKMin_mEqPerL"/>
        <s v="bloodValueSerumKMin_mEqPerLDate"/>
        <s v="bloodValueClMin_mEqPerL"/>
        <s v="bloodValueClMin_mEqPerLDate"/>
        <s v="bloodValueGlucoseMin_mgPerdL"/>
        <s v="bloodValueGlucoseMin_mgPerdLDate"/>
        <s v="bloodValueTotalCaMin_mgPerdL"/>
        <s v="bloodValueTotalCaMin_mgPerdLDate"/>
        <s v="bloodValueIonCaMin_mgPerdL"/>
        <s v="bloodValueIonCaMin_mgPerdLDate"/>
        <s v="bloodValueASTSGOTMin_UPerL"/>
        <s v="bloodValueASTSGOTMin_UPerLDate"/>
        <s v="bloodValueALTSGPTMin_UPerL"/>
        <s v="bloodValueALTSGPTMin_UPerLDate"/>
        <s v="bloodValueTotalBilirubinMin_mgPerdL"/>
        <s v="bloodValueTotalBilirubinMin_mgPerdLDate"/>
        <s v="bloodValuePHMax"/>
        <s v="bloodValuePHMaxDate"/>
        <s v="bloodValueBaseDeficitMax_mEqPerL"/>
        <s v="bloodValueBaseDeficitMax_mEqPerLDate"/>
        <s v="bloodValueSerumNaMax_mEqPerL"/>
        <s v="bloodValueSerumNaMax_mEqPerLDate"/>
        <s v="bloodValueSerumKMax_mEqPerL"/>
        <s v="bloodValueSerumKMax_mEqPerLDate"/>
        <s v="bloodValueClMax_mEqPerL"/>
        <s v="bloodValueClMax_mEqPerLDate"/>
        <s v="bloodValueBunMax_mgPerdL"/>
        <s v="bloodValueBunMax_mgPerdLDate"/>
        <s v="bloodValueCreatinineMax_mgPerdL"/>
        <s v="bloodValueCreatinineMax_mgPerdLDate"/>
        <s v="bloodValueGlucoseMax_mgPerdL"/>
        <s v="bloodValueGlucoseMax_mgPerdLDate"/>
        <s v="bloodValueTotalCaMax_mgPerdL"/>
        <s v="bloodValueTotalCaMax_mgPerdLDate"/>
        <s v="bloodValueIonCaMax_mgPerdL"/>
        <s v="bloodValueIonCaMax_mgPerdLDate"/>
        <s v="bloodValueASTSGOTMax_UPerL"/>
        <s v="bloodValueASTSGOTMax_UPerLDate"/>
        <s v="bloodValueALTSGPTMax_UPerL"/>
        <s v="bloodValueALTSGPTMax_UPerLDate"/>
        <s v="bloodValueTotalBilirubinMax_mgPerdL"/>
        <s v="bloodValueTotalBilirubinMax_mgPerdLDate"/>
        <s v="positiveCultureNumber"/>
        <s v="positiveCulture"/>
        <s v="positiveCultureSrc"/>
        <s v="positiveCultureDate"/>
        <s v="positiveCultureTime"/>
        <s v="positiveCultureOrganismCode1"/>
        <s v="antibiotics"/>
        <s v="antibioticsCode1"/>
        <s v="rewarmingAntibiotics"/>
        <s v="rewarmingAntibioticsCode1"/>
        <s v="otherMedTimeSlot_min"/>
        <s v="otherMedTargetDate"/>
        <s v="otherMedTargetTime"/>
        <s v="anticonvulsants1"/>
        <s v="analgesicsSedatives1"/>
        <s v="antipyretics1"/>
        <s v="paralytics1"/>
        <s v="otherMedFluidIntake_ccPerKg"/>
        <s v="otherMedUrineOutput_ccPerKg"/>
        <s v="imagingNumber"/>
        <s v="headSonogram"/>
        <s v="headSonogramDate"/>
        <s v="headSonogramTime"/>
        <s v="headSonogramResult1"/>
        <s v="headSonogramResultText"/>
        <s v="headCT"/>
        <s v="headCTDate"/>
        <s v="headCTTime"/>
        <s v="headCTResult1"/>
        <s v="headCTResultText"/>
        <s v="brainMRI"/>
        <s v="brainMRIDate"/>
        <s v="brainMRITime"/>
        <s v="brainMRIResult1"/>
        <s v="brainMRIResultText"/>
        <s v="elevatedTempNumber"/>
        <s v="elevatedTempMin"/>
        <s v="elevatedTempDate"/>
        <s v="elevatedTempTime"/>
        <s v="elevatedTempSkinTemperature_C"/>
        <s v="elevatedTempAxillaryTemperature_C"/>
        <s v="elevatedTempEsophagealTemperature_C"/>
        <s v="elevatedTempServoSet_C"/>
        <s v="elevatedTempDevice"/>
        <s v="elevatedTempDeviceMode"/>
        <s v="elevatedTempAirTemperature_C"/>
        <s v="elevatedTempBath"/>
        <s v="elevatedTempNoBathReason"/>
        <s v="elevatedTempBlanketrol"/>
        <s v="fluctuateTempNumber"/>
        <s v="fluctuateTempMin"/>
        <s v="fluctuateTempDate"/>
        <s v="fluctuateTempTime"/>
        <s v="fluctuateTempSkinTemperature_C"/>
        <s v="fluctuateTempAxillaryTemperature_C"/>
        <s v="fluctuateTempEsophagealTemperature_C"/>
        <s v="fluctuateTempBlanketrol_C"/>
        <s v="fluctuateTempServoSet_C"/>
        <s v="bradycardiaEventNumber"/>
        <s v="bradycardiaLess70Greater15min"/>
        <s v="bradycardiaEKG"/>
        <s v="bradycardiaEKGResult"/>
        <s v="bradycardiaEKGResultOtherText"/>
        <s v="bradycardiaAntiarrhythmiaMedication"/>
        <s v="bradycardiaDate"/>
        <s v="bradycardiaTime"/>
        <s v="bradycardiaDuration"/>
        <s v="bradycardiaHeartRateMin"/>
        <s v="adverseEventNumber"/>
        <s v="SAECardiacExperienceOnsetDate"/>
        <s v="SAECardiacExperienceOnsetTime"/>
        <s v="SAECardiacExperienceResolveDate"/>
        <s v="SAECardiacExperienceResolveTime"/>
        <s v="SAECardiacExperienceDueToHypothermia"/>
        <s v="SAECardiacExperienceActionTaken"/>
        <s v="SAECardiacExperienceOutcome"/>
        <s v="SAECardiacExperienceComment"/>
        <s v="SAEMetabolicAcidosisOnsetDate"/>
        <s v="SAEMetabolicAcidosisOnsetTime"/>
        <s v="SAEMetabolicAcidosisResolveDate"/>
        <s v="SAEMetabolicAcidosisResolveTime"/>
        <s v="SAEMetabolicAcidosisDueToHypothermia"/>
        <s v="SAEMetabolicAcidosisActionTaken"/>
        <s v="SAEMetabolicAcidosisOutcome"/>
        <s v="SAEMetabolicAcidosisComment"/>
        <s v="SAEThrombosisExperienceOnsetDate"/>
        <s v="SAEThrombosisExperienceOnsetTime"/>
        <s v="SAEThrombosisExperienceResolveDate"/>
        <s v="SAEThrombosisExperienceResolveTime"/>
        <s v="SAEThrombosisExperienceDueToHypothermia"/>
        <s v="SAEThrombosisExperienceActionTaken"/>
        <s v="SAEThrombosisExperienceOutcome"/>
        <s v="SAEThrombosisExperienceComment"/>
        <s v="SAEBleedingExperienceOnsetDate"/>
        <s v="SAEBleedingExperienceOnsetTime"/>
        <s v="SAEBleedingExperienceResolveDate"/>
        <s v="SAEBleedingExperienceResolveTime"/>
        <s v="SAEBleedingExperienceDueToHypothermia"/>
        <s v="SAEBleedingExperienceActionTaken"/>
        <s v="SAEBleedingExperienceOutcome"/>
        <s v="SAEBleedingExperienceComment"/>
        <s v="SAEAlterationSkinIntegrity"/>
        <s v="SAEAlterationSkinIntegrityOnsetDate"/>
        <s v="SAEAlterationSkinIntegrityResolveDate"/>
        <s v="SAEAlterationSkinIntegrityDueToHypothermia"/>
        <s v="SAEAlterationSkinIntegrityActionTaken"/>
        <s v="SAEAlterationSkinIntegrityOutcome"/>
        <s v="SAEAlterationSkinIntegrityComment"/>
        <s v="SAEDeathDate"/>
        <s v="SAEDeathTime"/>
        <s v="SAEDeathDueToHypothermia"/>
        <s v="SAEDeathActionTaken"/>
        <s v="SAEDeathOutcome"/>
        <s v="SAEDeathComment"/>
        <s v="SAEOther"/>
        <s v="SAEOtherOnsetDate"/>
        <s v="SAEOtherOnsetTime"/>
        <s v="SAEOtherResolveDate"/>
        <s v="SAEOtherResolveTime"/>
        <s v="SAEOtherDueToHypothermia"/>
        <s v="SAEOtherActionTaken"/>
        <s v="SAEOtherOutcome"/>
        <s v="SAEOtherComment"/>
        <s v="violationNumber"/>
        <s v="violationDate"/>
        <s v="violationNature"/>
        <s v="violationTreatmentAssign"/>
        <s v="violationTreatmentReceive"/>
        <s v="violationOtherText"/>
        <s v="violationCircumstance"/>
        <s v="violationOtherCirumstanceText"/>
        <s v="violationComment"/>
        <s v="interruptNumber"/>
        <s v="interrupt"/>
        <s v="interruptReason"/>
        <s v="interruptReasonText"/>
        <s v="interruptDate"/>
        <s v="interruptTime"/>
        <s v="interruptRestartDate"/>
        <s v="interruptRestartTime"/>
        <s v="interruptRestartEsophagealTemperature_C"/>
        <s v="discontinueDate"/>
        <s v="discontinueTime"/>
        <s v="discontinueBeforeEndPeriod"/>
        <s v="discontinueParentsWithdraw"/>
        <s v="discontinuePhysicianWithdraw"/>
        <s v="discontinueAdverseEvent"/>
        <s v="discontinueECMO"/>
        <s v="discontinueDNR"/>
        <s v="discontinueWdrawSupport"/>
        <s v="discontinueDeath"/>
        <s v="discontinueOther"/>
        <s v="discontinueOtherText"/>
        <s v="post_TemperatureTimeSlot_day"/>
        <s v="post_TemperatureDate"/>
        <s v="post_TemperatureTime"/>
        <s v="post_SkinTemperature_C"/>
        <s v="post_AxillaryTemperature_C"/>
        <s v="post_AlterationSkinIntegrity"/>
        <s v="post_Shiver"/>
        <s v="normothermiaAtEndIntervention"/>
        <s v="normothermiaDate"/>
        <s v="normothermiaTime"/>
        <s v="normothermiaAxillaryTemperature_C"/>
        <s v="noNormothermiaReason"/>
        <s v="coolAfterIntervention"/>
        <s v="coolAfterInterventionText"/>
        <s v="post_BloodValueASTSGOT_UPerL"/>
        <s v="post_BloodValueASTSGOT_UPerLDate"/>
        <s v="post_BloodValueALTSGPT_UPerL"/>
        <s v="post_BloodValueALTSGPT_UPerLDate"/>
        <s v="post_BloodValueTotalBilirubin_mgPerdL"/>
        <s v="post_BloodValueTotalBilirubin_mgPerdLDate"/>
        <s v="post_HeadSonogram"/>
        <s v="post_HeadSonogramDate"/>
        <s v="post_HeadSonogramTime"/>
        <s v="post_HeadSonogramResult1"/>
        <s v="post_HeadSonogramResultText"/>
        <s v="post_HeadCT"/>
        <s v="post_HeadCTDate"/>
        <s v="post_HeadCTTime"/>
        <s v="post_HeadCTResult1"/>
        <s v="post_HeadCTResultText"/>
        <s v="post_BrainMRI"/>
        <s v="post_BrainMRIDate"/>
        <s v="post_BrainMRITime"/>
        <s v="post_BrainMRIResult1"/>
        <s v="post_BrainMRIResultText"/>
        <s v="post_NeuroExamDate"/>
        <s v="post_NeuroExamTime"/>
        <s v="post_NeuroExamLevelConsciousness"/>
        <s v="post_NeuroExamSpontaneousActivity"/>
        <s v="post_NeuroExamPosture"/>
        <s v="post_NeuroExamTone"/>
        <s v="post_NeuroExamSuck"/>
        <s v="post_NeuroExamMoro"/>
        <s v="post_NeuroExamPupils"/>
        <s v="post_NeuroExamHeartRate"/>
        <s v="post_NeuroExamRespiration"/>
        <s v="post_NeuroExamSeizure"/>
        <s v="post_NeuroExamSedate"/>
        <s v="post_NeuroExamClonusSustained"/>
        <s v="post_NeuroExamFistedHand"/>
        <s v="post_NeuroExamAbnormalMovement"/>
        <s v="post_NeuroExamGagReflexAbsent"/>
        <s v="post_NeuroExamHypertonia"/>
        <s v="post_NeuroExamAsymTonicNeckReflex"/>
        <s v="post_NeuroExamReflexScore"/>
        <s v="post_NeuroExamANSScore"/>
        <s v="post_TotalModifiedSarnatScore"/>
        <s v="siteID"/>
        <s v="MRIIncrement"/>
        <s v="MRIID"/>
        <s v="MRIStrength_T"/>
        <s v="MRIAdequateQuality"/>
        <s v="MRIT1Axial"/>
        <s v="MRIT1Coronal"/>
        <s v="MRIT1Sagittal"/>
        <s v="MRIT1"/>
        <s v="MRIT2Axial"/>
        <s v="MRIT2Coronal"/>
        <s v="MRIT2Sagittal"/>
        <s v="MRIT2"/>
        <s v="MRIT2FLAIRAxial"/>
        <s v="MRIT2FLAIRCoronal"/>
        <s v="MRIT2FLAIRSagittal"/>
        <s v="MRIT2FLAIR"/>
        <s v="MRIGRESWIAxial"/>
        <s v="MRIGRESWICoronal"/>
        <s v="MRIGRESWISagittal"/>
        <s v="MRIGRESWI"/>
        <s v="MRISPGRAxial"/>
        <s v="MRISPGRCoronal"/>
        <s v="MRISPGRSagittal"/>
        <s v="MRISPGR"/>
        <s v="MRIDWI"/>
        <s v="MRIADC"/>
        <s v="MRIMRS"/>
        <s v="MRIOther"/>
        <s v="MRIOtherText"/>
        <s v="MRIOverallDiagnosis"/>
        <s v="MRIOverallDiagnosisText"/>
        <s v="MRIAbnormal"/>
        <s v="MRICerebralAtrophy"/>
        <s v="MRICerebralAtrophyGlobalLocal"/>
        <s v="MRICerebralAtrophyRegion"/>
        <s v="MRICerebralAtrophyQualAssessCC"/>
        <s v="MRICerebralAtrophyQualAssessVDLeft"/>
        <s v="MRICerebralAtrophyQualAssessVDRight"/>
        <s v="MRIInfarction"/>
        <s v="MRIInfarctionArterialTerritoryLeft"/>
        <s v="MRIInfarctionArterialTerritoryRight"/>
        <s v="MRIInfarctionWatershedLeft"/>
        <s v="MRIInfarctionWatershedRight"/>
        <s v="MRIMidlineShift"/>
        <s v="MRIBGT"/>
        <s v="MRIPLIC"/>
        <s v="MRIALIC"/>
        <s v="MRIWatershed"/>
        <s v="MRIWhiteMatterInjury"/>
        <s v="MRIFocalCorticalInjury"/>
        <s v="MRINRNPatternOfInjuryExtent"/>
        <s v="MRINRNPatternOfInjuryLateral"/>
        <s v="MRIComment"/>
        <s v="MRINRNPatternOfInjury"/>
        <s v="MRIAvailable"/>
        <s v="MRIObtain"/>
        <s v="MRIObtainWindow"/>
        <s v="MRIObtainComment"/>
        <s v="MRINoObtainReason"/>
        <s v="MRINoObtainReasonText"/>
        <s v="MRIRead"/>
        <s v="MRIScore"/>
        <s v="MRI2LevelPatternOfInjury"/>
        <s v="MRIAge_day"/>
        <s v="MRIOverallDiagnosisMerge"/>
        <s v="MRINotDone"/>
        <s v="MRIUnread"/>
        <s v="MRIAnalysis"/>
        <s v="MRIAbnormalResult"/>
        <s v="MRINRNPatternOfInjuryWSvsBGTPLIC"/>
        <s v="MRICerebralLesion"/>
        <s v="MRICerebellarLesion"/>
        <s v="MRIBasalGangliaLesion"/>
        <s v="MRIBrainstemLesion"/>
        <s v="MRICorpusCallosumLesion"/>
        <s v="MRICerebralLesionLobe"/>
        <s v="MRICoronaRadiataLesion"/>
        <s v="MRIEdema"/>
        <s v="MRIExtraAxialLesion"/>
        <s v="MRIExtent"/>
        <s v="MRIFrontalParietalLesion"/>
        <s v="MRIFrontalLesion"/>
        <s v="MRILateralHemisphericDevastation"/>
        <s v="MRIHippocampusLesion"/>
        <s v="MRIHypothalamusLesion"/>
        <s v="MRIInsularLesion"/>
        <s v="MRILateralityMerge"/>
        <s v="MRIBGTMerge"/>
        <s v="MRIPLICMerge"/>
        <s v="MRIWatershedMerge"/>
        <s v="MRIWhiteMatterInjuryMerge"/>
        <s v="MRIDate"/>
        <s v="MRIOccipitalLesion"/>
        <s v="MRITime"/>
        <s v="MRIOpticChiasmLesion"/>
        <s v="MRIOtherLesion"/>
        <s v="MRIOtherCerebralLesion"/>
        <s v="MRIParasagittalLesion"/>
        <s v="MRIParietalLesion"/>
        <s v="MRIPreirolandicLesion"/>
        <s v="MRIPerisylvianLesion"/>
        <s v="MRIPituitaryLesion"/>
        <s v="MRIParietalOccipitalLesion"/>
        <s v="MRIParietalTemporalLesion"/>
        <s v="MRIScalpLesion"/>
        <s v="MRIThalamusLesion"/>
        <s v="MRITemporalLesion"/>
        <s v="MRITemporalOccipitalLesion"/>
        <s v="MRICerebralAtrophyMerge"/>
        <s v="MRICerebralAtrophyQualAssessCCMerge"/>
        <s v="MRICerebralAtrophyGlobalLocalMerge"/>
        <s v="MRIVascularTerritoryInfarctionMerge"/>
        <s v="MRIVascularTerritoryInfarctionLeftMerge"/>
        <s v="MRIVascularTerritoryInfarctionRightMerge"/>
        <s v="MRIHemisphericDevastation"/>
        <s v="MRIVentricularDilatation"/>
        <s v="MRIVascularLesion"/>
        <s v="MRIIntraventricularLesion"/>
        <s v="MRINRNPatternOfInjuryAvg"/>
        <s v="MRINRNPatternOfInjuryMax"/>
        <s v="status"/>
        <s v="statusDate"/>
        <s v="dischargeDate"/>
        <s v="dischargeWeight_g"/>
        <s v="dischargeLength_cm"/>
        <s v="dischargeHeadCircumference_cm"/>
        <s v="transferReason"/>
        <s v="transferDate"/>
        <s v="transferWeight_g"/>
        <s v="transferLength_cm"/>
        <s v="transferHeadCircumference_cm"/>
        <s v="transferOutcome"/>
        <s v="deathDate"/>
        <s v="deathTime"/>
        <s v="deathAge_day"/>
        <s v="deathAutopsy"/>
        <s v="deathCause"/>
        <s v="deathCauseText"/>
        <s v="deathSrc"/>
        <s v="lengthOfStay_day"/>
        <s v="dischargeCardiomegaly"/>
        <s v="dischargeCardiacFailure"/>
        <s v="dischargeCardiacDysfunctionByEcho"/>
        <s v="dischargeCardiacIschemiaByEKG"/>
        <s v="dischargeHypotension"/>
        <s v="dischargeArrhythmia"/>
        <s v="dischargeInotropicAgent"/>
        <s v="dischargeMeconiumAspirationSyndrome"/>
        <s v="dischargePPHN"/>
        <s v="dischargePulmonaryHemorrhage"/>
        <s v="dischargePenumonia"/>
        <s v="dischargeChronicLungDisease"/>
        <s v="dischargeECMO"/>
        <s v="dischargeINO"/>
        <s v="dischargeVentilator_day"/>
        <s v="dischargeOxygen_day"/>
        <s v="dischargeCPAP_day"/>
        <s v="dischargePulmonaryStartDate1"/>
        <s v="dischargePulmonaryStartTime1"/>
        <s v="dischargePulmonaryEndDate1"/>
        <s v="dischargePulmonaryEndTime1"/>
        <s v="dischargeDIC"/>
        <s v="dischargeHypoglycemia"/>
        <s v="dischargeHypocalcemia"/>
        <s v="dischargeHypomagnesemia"/>
        <s v="dischargeOliguria"/>
        <s v="dischargeAnuria"/>
        <s v="dischargeDialysis"/>
        <s v="dischargeEnteralFeedStart_day"/>
        <s v="dischargeTubeFeedingDuration_day"/>
        <s v="dischargeFullNippleFeed"/>
        <s v="dischargeFullNippleFeed_day"/>
        <s v="dischargeNEC"/>
        <s v="dischargeHepaticDysfunction"/>
        <s v="dischargeAlteredSkinItegrityPostIntervention"/>
        <s v="dischargeErythema"/>
        <s v="dischargeErythemaOnsetDate"/>
        <s v="dischargeErythemaResolveDate"/>
        <s v="dischargeSclerema"/>
        <s v="dischargeScleremaOnsetDate"/>
        <s v="dischargeScleremaResolveDate"/>
        <s v="dischargeCyanosis"/>
        <s v="dischargeCyanosisOnsetDate"/>
        <s v="dischargeCyanosisResolveDate"/>
        <s v="dischargeSubFatNecrosis"/>
        <s v="dischargeSubFatNecrosisOnsetDate"/>
        <s v="dischargeSubFatNecrosisResolveDate"/>
        <s v="dischargeHearingTest"/>
        <s v="dischargeHearingTestNormal"/>
        <s v="dischargeMajorSurgery"/>
        <s v="dischargeSurgeryCode1"/>
        <s v="dischargeSepticemia"/>
        <s v="dischargeSepticemiaOrganismCode1"/>
        <s v="dischargeMeningitisEncephalitis"/>
        <s v="dischargeMeningitisOrganismCode1"/>
        <s v="dischargeNeuroExamDate"/>
        <s v="dischargeNeuroExamTime"/>
        <s v="dischargeNeuroExamLevelConsciousness"/>
        <s v="dischargeNeuroExamSpontaneousActivity"/>
        <s v="dischargeNeuroExamPosture"/>
        <s v="dischargeNeuroExamTone"/>
        <s v="dischargeNeuroExamSuck"/>
        <s v="dischargeNeuroExamMoro"/>
        <s v="dischargeNeuroExamPupils"/>
        <s v="dischargeNeuroExamHeartRate"/>
        <s v="dischargeNeuroExamRespiration"/>
        <s v="dischargeNeuroExamSeizure"/>
        <s v="dischargeNeuroExamClonusSustained"/>
        <s v="dischargeNeuroExamFistedHand"/>
        <s v="dischargeNeuroExamAbnormalMovement"/>
        <s v="dischargeNeuroExamGagReflexAbsent"/>
        <s v="dischargeNeuroExamSedate"/>
        <s v="dischargeNeuroExamHypertonia"/>
        <s v="dischargeNeuroExamAsymTonicNeckReflex"/>
        <s v="dischargeNeuroExamReflexScore"/>
        <s v="dischargeNeuroExamANSScore"/>
        <s v="dischargeTotalModifiedSarnatScore"/>
        <s v="dischargeSeizure"/>
        <s v="dischargeSeizurePreIntervention"/>
        <s v="dischargeSeizureAfterBaseline"/>
        <s v="dischargeSeizureMaintenance"/>
        <s v="dischargeSeizureRewarming"/>
        <s v="dischargeSeizurePostIntervention"/>
        <s v="dischargeEEG"/>
        <s v="dischargeEEGFindingConsistentWithSeizure"/>
        <s v="dischargeEEGFindingConsistentWithSeizureDate"/>
        <s v="dischargeEEGFindingConsistentWithSeizureTime"/>
        <s v="dischargeEEGAbnormalBackgroundActivity"/>
        <s v="dischargeEEGAbnormalBackgroundActivityDate"/>
        <s v="dischargeEEGAbnormalBackgroundActivityTime"/>
        <s v="dischargeAnticonvulsantsGreater72H"/>
        <s v="dischargeAnticonvulsants"/>
        <s v="dischargeSyndromeMalformation"/>
        <s v="dischargeBirthDefectCode1"/>
        <s v="dischargeHomeTherapy"/>
        <s v="dischargeHomeTherapyVentilator"/>
        <s v="dischargeHomeTherapyOxygen"/>
        <s v="dischargeHomeTherapyGavageTubeFeed"/>
        <s v="dischargeHomeTherapyGastrostomyTubeFeed"/>
        <s v="dischargeHomeTherapyTemperatureBlanket"/>
        <s v="dischargeHomeTherapyAnticonvulsantMedication"/>
        <s v="dischargeHomeTherapyOther"/>
        <s v="dischargeHomeTherapyOtherText"/>
        <s v="wdrawSupport"/>
        <s v="wdrawSupportDate"/>
        <s v="wdrawSupportTime"/>
        <s v="wdrawSupportDiscussedWithFamily"/>
        <s v="wdrawSupportRecommendSolelyByClinicalTeam"/>
        <s v="wdrawSupportNeurologicalExam"/>
        <s v="wdrawSupportImagingStudy"/>
        <s v="wdrawSupportEEGFinding"/>
        <s v="wdrawSupportMultisystemOrganFailureOtherThanCNS"/>
        <s v="wdrawSupportBrainBloodFlowScan"/>
        <s v="wdrawSupportParentWish"/>
        <s v="wdrawSupportOther"/>
        <s v="wdrawSupportOtherText"/>
        <s v="limitCareDiscussedWithFamily"/>
        <s v="limitCareRecommendSolelyByClinicalTeam"/>
        <s v="limitCareAgreedByFamilyAndCareTeam"/>
        <s v="limitCareNoFurtherMechanicalVentilationAndIntubation"/>
        <s v="limitCareNoFurtherVentilationWithBagAndMask"/>
        <s v="limitCareNoFurtherMedicationsToSupportBP"/>
        <s v="limitCareNoFurtherChestCompression"/>
        <s v="limitCareNoFurtherEmergencyMedication"/>
        <s v="limitCareDNR"/>
        <s v="limitCareDNRDate"/>
        <s v="limitCareDNRTime"/>
        <s v="SESVisitDate"/>
        <s v="SESBirthDate"/>
        <s v="chronologicalAge_mo"/>
        <s v="correctedAge_mo"/>
        <s v="underStateSupervision"/>
        <s v="primaryCaretaker"/>
        <s v="otherCaretaker"/>
        <s v="maritalStatusPrimaryCaretaker"/>
        <s v="livingArrangementChild"/>
        <s v="numberPeopleInChildHousehold"/>
        <s v="otherContributeMoneyToChildHousehold"/>
        <s v="educationPrimaryCaretaker"/>
        <s v="educationOtherCaretaker"/>
        <s v="workPrimaryCaretaker"/>
        <s v="workOtherCaretaker"/>
        <s v="inSchoolPrimaryCaretaker"/>
        <s v="inSchoolOtherCaretaker"/>
        <s v="totalIncomeChildHousehold"/>
        <s v="medicalInsuranceChild"/>
        <s v="primaryLanguageChild"/>
        <s v="primaryLanguageChildOtherText"/>
        <s v="isSecondaryLanguageChild"/>
        <s v="secondaryLanguageChild"/>
        <s v="secondaryLanguageChildOtherText"/>
        <s v="numberPlaceChildLive"/>
        <s v="zipcode"/>
        <s v="visitingNurseReceive"/>
        <s v="visitingNurseNeed"/>
        <s v="homeNurseReceive"/>
        <s v="homeNurseNeed"/>
        <s v="otPtReceive"/>
        <s v="otPtNeed"/>
        <s v="speechTherapyReceive"/>
        <s v="speechTherapyNeed"/>
        <s v="earlyInterventionReceive"/>
        <s v="earlyInterventionNeed"/>
        <s v="socialWorkForChildReceive"/>
        <s v="socialWorkForChildNeed"/>
        <s v="specialClinicReceive"/>
        <s v="specialClinicNeed"/>
        <s v="pulmonaryReceive"/>
        <s v="pulmonaryNeed"/>
        <s v="ophthalmologicReceive"/>
        <s v="ophthalmologicNeed"/>
        <s v="gastrointestinalReceive"/>
        <s v="gastrointestinalNeed"/>
        <s v="audiologicReceive"/>
        <s v="audiologicNeed"/>
        <s v="neurologicReceive"/>
        <s v="neurologicNeed"/>
        <s v="otherReceive"/>
        <s v="otherNeed"/>
        <s v="otherNeedText"/>
        <s v="neurodevelopmentReceive"/>
        <s v="neurodevelopmentNeed"/>
        <s v="prematureFollowupClinicReceive"/>
        <s v="prematureFollowupClinicNeed"/>
        <s v="regularDoctor"/>
        <s v="resideChronicCareFacility"/>
        <s v="takenCareOfByOther"/>
        <s v="traditionalCenterCare"/>
        <s v="traditionalCenterCareAvgHrPerWeek"/>
        <s v="medicalChildCare"/>
        <s v="medicalChildCareAvgHrPerWeek"/>
        <s v="medicalChildCareWhere"/>
        <s v="traditionalHomeCare"/>
        <s v="traditionalHomeCareAvgHrPerWeek"/>
        <s v="traditionalHomeCareWhose"/>
        <s v="babysitter"/>
        <s v="babysitterAvgHrPerWeek"/>
        <s v="babysitterRelation"/>
        <s v="SESInterviewWhere"/>
        <s v="SESInterviewDate"/>
        <s v="rehospitalize"/>
        <s v="numberRehospitalize"/>
        <s v="operation"/>
        <s v="operationTypanostomyTube"/>
        <s v="operationTracheostomy"/>
        <s v="operationEyeSurgery"/>
        <s v="operationEyeSurgeryReason"/>
        <s v="operationHerniaSurgery"/>
        <s v="operationGastrostomyTube"/>
        <s v="operationFundoplication"/>
        <s v="operationShuntForHydrocephalus"/>
        <s v="operationReanastomosisOfLargeOrSmallIntenstine"/>
        <s v="operationPDALigation"/>
        <s v="operationBrochoscopy"/>
        <s v="operationHypospadiusRepair"/>
        <s v="operationOther"/>
        <s v="operationOtherText"/>
        <s v="medication"/>
        <s v="vitaminMineralSupplement"/>
        <s v="highCaloricFormula"/>
        <s v="diuretics"/>
        <s v="antiRefluxMedication"/>
        <s v="bronchodilator"/>
        <s v="inhaledSteroid"/>
        <s v="oralIvSteroid"/>
        <s v="otherAsthmaMedication"/>
        <s v="decongestantColdAllergyMedication"/>
        <s v="anticonvulsantMedication"/>
        <s v="prophylaticAntibiotics"/>
        <s v="constipationMedication"/>
        <s v="bloodPressureMedication"/>
        <s v="thyroidMedication"/>
        <s v="muscleRelaxants"/>
        <s v="botox"/>
        <s v="otherMedication"/>
        <s v="otherMedicationText"/>
        <s v="seizure"/>
        <s v="medicalEquipmentHomeUse"/>
        <s v="apneaMonitor"/>
        <s v="oxygen"/>
        <s v="ventilatorCPAP"/>
        <s v="gastrostomyTube"/>
        <s v="tracheostomy"/>
        <s v="pulseOximeter"/>
        <s v="fluShot"/>
        <s v="RSVProphylaxis"/>
        <s v="independentFeedSelf"/>
        <s v="assistedEatByMouth"/>
        <s v="tubeFeed"/>
        <s v="TPN"/>
        <s v="dietMilk"/>
        <s v="dietTableFood"/>
        <s v="dietSoftFood"/>
        <s v="dietLiquid"/>
        <s v="dietThickendLiquid"/>
        <s v="subcutaneousFatNecrosis"/>
        <s v="equipmentForStanding"/>
        <s v="adaptedStroller"/>
        <s v="bracesOrthotics"/>
        <s v="walker"/>
        <s v="stander"/>
        <s v="cornerChairTumblerForm"/>
        <s v="weight_kg"/>
        <s v="length_cm"/>
        <s v="headCircumference_cm"/>
        <s v="strabismusRight"/>
        <s v="strabismusLeft"/>
        <s v="nystagmusRight"/>
        <s v="nystagmusLeft"/>
        <s v="rovingEyeMovementRight"/>
        <s v="rovingEyeMovementLeft"/>
        <s v="eyeTrackRight"/>
        <s v="eyeTrackLeft"/>
        <s v="visionRight"/>
        <s v="visionLeft"/>
        <s v="audiologicAssessment"/>
        <s v="audiologicPendingForAssessment"/>
        <s v="visualReinforcementAudiometry"/>
        <s v="VRARight"/>
        <s v="VRALeft"/>
        <s v="VRASoundField"/>
        <s v="ABR"/>
        <s v="ABRRight"/>
        <s v="ABRLeft"/>
        <s v="hearingTestUnknown"/>
        <s v="hearingTestUnknownRight"/>
        <s v="hearingTestUnknownLeft"/>
        <s v="hearingImpaired"/>
        <s v="hearingAidRequirement"/>
        <s v="hearingImplant"/>
        <s v="swallowing"/>
        <s v="dysphagia"/>
        <s v="aspiration"/>
        <s v="abnormalVoice"/>
        <s v="drooling"/>
        <s v="nothingByMouth"/>
        <s v="observedAbnormalMovement"/>
        <s v="observedAbnormalMovementShortJerky"/>
        <s v="observedAbnormalMovementSlowWrithing"/>
        <s v="observedAbnormalMovementTremor"/>
        <s v="passiveMuscleToneNeckTrunk"/>
        <s v="upperExtremityMuscleToneRight"/>
        <s v="upperExtremityMuscleToneLeft"/>
        <s v="lowerExtremityMuscleToneHipKneeRight"/>
        <s v="lowerExtremityMuscleToneHipKneeLeft"/>
        <s v="lowerExtremityMuscleToneAnkleRight"/>
        <s v="lowerExtremityMuscleToneAnkleLeft"/>
        <s v="scissoringLegs"/>
        <s v="handPreference"/>
        <s v="protectiveReaction"/>
        <s v="limbMovementUpperLimb"/>
        <s v="limbMovementLowerLimb"/>
        <s v="deepTendonReflexUpperExtremityRight"/>
        <s v="deepTendonReflexUpperExtremityLeft"/>
        <s v="deepTendonReflexKneeRight"/>
        <s v="deepTendonReflexKneeLeft"/>
        <s v="deepTendonReflexAnkleRight"/>
        <s v="deepTendonReflexAnkleLeft"/>
        <s v="ankleClonusRight"/>
        <s v="ankleClonusLeft"/>
        <s v="plantarReflexRight"/>
        <s v="plantarReflexLeft"/>
        <s v="axisHeadNeck"/>
        <s v="axisTrunk"/>
        <s v="lowerLimbFunction"/>
        <s v="upperLimbFunction"/>
        <s v="handFunctionRight"/>
        <s v="handFunctionLeft"/>
        <s v="neuralNormal"/>
        <s v="generalizedHypotonia"/>
        <s v="hypertonia"/>
        <s v="neuralOther"/>
        <s v="neuralOtherText"/>
        <s v="spasticDiplegia"/>
        <s v="spasticHemiplegiaRight"/>
        <s v="spasticHemiplegiaLeft"/>
        <s v="spasticQuadriplegia"/>
        <s v="spasticTriplegia"/>
        <s v="dystonia"/>
        <s v="athetosis"/>
        <s v="athetosisDystonia"/>
        <s v="hypotoniaAtaxia"/>
        <s v="spasticMonoplegia"/>
        <s v="mixedCerebralPalsy"/>
        <s v="cerebralPalsyUnclassified"/>
        <s v="cerebralPalsyUnclassifiedText"/>
        <s v="cerebralPalsy"/>
        <s v="cerebralPalsyClass"/>
        <s v="abrnomalityAffectingNeuroAssessment"/>
        <s v="abrnomalityAffectingNeuroAssessmentText"/>
        <s v="examWhere"/>
        <s v="examWhereOtherText"/>
        <s v="examQuality"/>
        <s v="examFactorAffecting"/>
        <s v="examFactorAffectingText"/>
        <s v="examCompleteDate"/>
        <s v="BayleyIIICognitiveSubtest"/>
        <s v="BayleyIIIReasonNoSuccessCognitiveSubtest"/>
        <s v="BayleyIIIReasonNoSuccessCognitiveSubtestText"/>
        <s v="BayleyIIILanguageReceptiveSubtest"/>
        <s v="BayleyIIIReasonNoSuccessLanguageReceptiveSubtest"/>
        <s v="BayleyIIIReasonNoSuccessLanguageReceptiveSubtestText"/>
        <s v="BayleyIIILanguageExpressiveSubtest"/>
        <s v="BayleyIIIReasonNoSuccessLanguageExpressiveSubtest"/>
        <s v="BayleyIIIReasonNoSuccessLanguageExpressiveSubtestText"/>
        <s v="BayleyIIIMotorFineSubtest"/>
        <s v="BayleyIIIReasonNoSuccessMotorFineSubtest"/>
        <s v="BayleyIIIReasonNoSuccessMotorFineSubtestText"/>
        <s v="BayleyIIIMotorGrossSubtest"/>
        <s v="BayleyIIIReasonNoSuccessMotorGrossSubtest"/>
        <s v="BayleyIIIReasonNoSuccessMotorGrossSubtestText"/>
        <s v="BayleyIIIAdjustedAgeForCognitiveTest"/>
        <s v="BayleyIIIAdjustedAgeForReceptiveCommunication"/>
        <s v="BayleyIIIAdjustedAgeForExpressiveCommunication"/>
        <s v="BayleyIIIAdjustedAgeForMotorFineSubtest"/>
        <s v="BayleyIIIAdjustedAgeForMotorGrossSubtest"/>
        <s v="BayleyIIICognitiveRaw"/>
        <s v="BayleyIIICognitiveScale"/>
        <s v="BayleyIIICognitiveComposite"/>
        <s v="BayleyIIIReceptiveRaw"/>
        <s v="BayleyIIIReceptiveScale"/>
        <s v="BayleyIIIExpressiveRaw"/>
        <s v="BayleyIIIExpressiveScale"/>
        <s v="BayleyIIISumLanguageScore"/>
        <s v="BayleyIIILanguageComposite"/>
        <s v="BayleyIIIMotorFineRaw"/>
        <s v="BayleyIIIMotorFineScale"/>
        <s v="BayleyIIIMotorGrossRaw"/>
        <s v="BayleyIIIMotorGrossScale"/>
        <s v="BayleyIIISumMotorScore"/>
        <s v="BayleyIIIMotorComposite"/>
        <s v="BayleyIIIInEnglish"/>
        <s v="BayleyIIIRequireInterpreter"/>
        <s v="BayleyIIIAdministratorMaskedToChildHistory"/>
        <s v="BayleyIIIWhere"/>
        <s v="BayleyIIIDate"/>
        <s v="grossMotorFunctionLevel"/>
        <s v="statusVisitDate"/>
        <s v="statusBirthDate"/>
        <s v="childFinalStatus"/>
        <s v="reasonLossFollowUp"/>
        <s v="firstVisitDate"/>
        <s v="finalVisitDate"/>
        <s v="readmissionNumber"/>
        <s v="readmissionTimePeriod"/>
        <s v="readmissionPrimaryCause"/>
        <s v="readmissionPrimaryCauseOtherText"/>
        <s v="readmissionLengthOfStay"/>
        <s v="readmissionICU"/>
        <s v="lostFollowUpInformationAvailableIndirectSrc"/>
        <s v="lostFollowUpLastContactDate"/>
        <s v="lostFollowUpFormCompleteDate"/>
        <s v="lostFollowUpChildAlive"/>
        <s v="lostFollowUpLastKnownAliveCorrectedAge_mo"/>
        <s v="lostFollowUpDeathDate"/>
        <s v="lostFollowUpInterview"/>
        <s v="lostFollowUpInterviewDate"/>
        <s v="lostFollowUpInterviewCorrectedAge_mo"/>
        <s v="lostFollowUpAnyQuestionCompleteChartReview"/>
        <s v="lostFollowUpChartReviewDate"/>
        <s v="lostFollowUpChartReviewCorrectedAge_mo"/>
        <s v="interviewChildHealth"/>
        <s v="interviewWalkAlone"/>
        <s v="interviewWalkAloneAge_mo"/>
        <s v="interviewSittingAlong"/>
        <s v="interviewHeadControl"/>
        <s v="interviewSee"/>
        <s v="interviewEyeExam"/>
        <s v="interviewNeedWearGlasses"/>
        <s v="interviewHear"/>
        <s v="interviewHearExam"/>
        <s v="interviewNeedWearHearingAid"/>
        <s v="interviewNumberWordVocabulary"/>
        <s v="interviewCombine2Words"/>
        <s v="interviewCombine3Words"/>
        <s v="interviewHydrocephalusShunt"/>
        <s v="interviewCerebralPalsy"/>
        <s v="interviewDevelopmentalDelay"/>
        <s v="interviewLanguageDelay"/>
        <s v="interviewPoorWeightGain"/>
        <s v="interviewSeizure"/>
        <s v="interviewBlindness"/>
        <s v="interviewOtherBehaviorProblem"/>
        <s v="interviewOtherBehaviorProblemText"/>
        <s v="interviewOtherMajorMedicalProblem"/>
        <s v="interviewOtherMajorMedicalProblemText"/>
        <s v="interviewOtherNeuraldevelopmentalProblem"/>
        <s v="interviewOtherNeuraldevelopmentalProblemText"/>
        <s v="interviewMotorGrossFunctionLevel"/>
        <s v="chartReviewEyeExam"/>
        <s v="chartReviewHearingExam"/>
        <s v="chartReviewNeedWearHearingAid"/>
        <s v="chartReviewHydrocephalusShunt"/>
        <s v="chartReviewCerebralPalsy"/>
        <s v="chartReviewDevelopmentalDelay"/>
        <s v="chartReviewLanguageDelay"/>
        <s v="chartReviewPoorWeightGain"/>
        <s v="chartReviewSeizure"/>
        <s v="chartReviewBlindness"/>
        <s v="chartReviewOtherBehaviorProblem"/>
        <s v="chartReviewOtherBehaviorProblemText"/>
        <s v="chartReviewOtherMajorMedicalProblem"/>
        <s v="chartReviewOtherMajorMedicalProblemText"/>
        <s v="chartReviewOtherNeuraldevelopmentalProblem"/>
        <s v="chartReviewOtherNeuraldevelopmentalProblemText"/>
        <s v="chartReviewMotorGrossFunctionLevel"/>
        <s v="blindness"/>
        <s v="moderateSevereCerebralPalsy"/>
        <s v="cerebralPalsyMerge"/>
        <s v="gastrostomyTube_b"/>
        <s v="grossMotorFunctionLevelSeverity"/>
        <s v="hearingImpairedWithAid"/>
        <s v="hearingImpairedLevel"/>
        <s v="multipleImpairment"/>
        <s v="afterDischargeSeizure"/>
        <s v="flagAdjudicatedOutcome"/>
        <s v="normalPrimaryOutcome"/>
        <s v="BayleyIIILanguage"/>
        <s v="BayleyIIIMotor"/>
        <s v="BayleyIIICognitive"/>
        <s v="deathBeforeFollowup"/>
        <s v="deathBeforeDischarge"/>
        <s v="disabilityLevelSurvivor"/>
        <s v="disabilityLevelDeath4Category"/>
        <s v="moderateSevereDisabilityOrDeath"/>
        <s v="moderateSevereDisabilitySurvivor"/>
        <s v="outcomeGroup"/>
        <s v="disabilityLevelDeath"/>
        <m/>
      </sharedItems>
    </cacheField>
    <cacheField name="type" numFmtId="0">
      <sharedItems containsBlank="1">
        <s v="text"/>
        <s v="int"/>
        <s v="bool"/>
        <s v="consentStatus"/>
        <s v="date"/>
        <s v="time"/>
        <s v="float"/>
        <s v="treatmentAssign"/>
        <s v="blanketType"/>
        <s v="race"/>
        <s v="ethnicity"/>
        <s v="maritalStatus"/>
        <s v="education"/>
        <s v="insurance"/>
        <s v="deliveryMode"/>
        <s v="antibiotics"/>
        <s v="encephalopathyLevel"/>
        <s v="infantAge"/>
        <s v="infantSex"/>
        <s v="spontaneousRespirationTime"/>
        <s v="cordBloodGasSrc"/>
        <s v="bloodGasSrc"/>
        <s v="initBloodGasSrc"/>
        <s v="targetTreatmentTemperature"/>
        <s v="positiveCultureSrc"/>
        <s v="positiveCultureOrganism"/>
        <s v="anticonvulsants"/>
        <s v="analgesics"/>
        <s v="antipyretics"/>
        <s v="paralytics"/>
        <s v="imaging"/>
        <s v="noNeuroExamReason"/>
        <s v="signOfHIELvlOfCons"/>
        <s v="signOfHIESpontaneousActivity"/>
        <s v="signOfHIEPosture"/>
        <s v="signOfHIETone"/>
        <s v="signOfHIESuck"/>
        <s v="signOfHIEMoro"/>
        <s v="signOfHIEPupils"/>
        <s v="signOfHIEHeartRate"/>
        <s v="signOfHIERespiratory"/>
        <s v="respiratorySupportType"/>
        <s v="elevatedTempDevice"/>
        <s v="elevatedTempDeviceMode"/>
        <s v="elevatedTempNoBathReason"/>
        <s v="bradycardiaEKGResult"/>
        <s v="bradycardiaDuration"/>
        <s v="bradycardiaHeartRateMin"/>
        <s v="SAEAttributable"/>
        <s v="SAEAction"/>
        <s v="SAEOutcome"/>
        <s v="SAEAlterationSkinIntegrity"/>
        <s v="violationNature"/>
        <s v="violationCircumstance"/>
        <s v="interruptReason"/>
        <s v="coolAfterIntervention"/>
        <s v="MRIOverallDiagnosis"/>
        <s v="MRICerebralAtrophyGlobalLocal"/>
        <s v="MRICerebralAtrophyRegion"/>
        <s v="MRISeverity"/>
        <s v="MRIALICPLICSeverity"/>
        <s v="MRIInjurySeverity"/>
        <s v="MRINRNPatternOfInjuryExtent"/>
        <s v="MRINRNPatternOfInjuryLateral"/>
        <s v="MRINRNPatternOfInjury"/>
        <s v="MRIObtainWindow"/>
        <s v="MRINoObtainReason"/>
        <s v="MRI2LevelPatternOfInjury"/>
        <s v="MRINRNPatternOfInjuryWSvsBGT"/>
        <s v="MRILesion"/>
        <s v="MRIAbnormalExtent"/>
        <s v="MRIAbnormalSide"/>
        <s v="status"/>
        <s v="transferReason"/>
        <s v="transferOutcome"/>
        <s v="deathCause"/>
        <s v="deathSrc"/>
        <s v="surgery"/>
        <s v="birthDefect"/>
        <s v="relationship"/>
        <s v="livingArrange"/>
        <s v="totalIncome"/>
        <s v="language"/>
        <s v="receive"/>
        <s v="homeCareLocation"/>
        <s v="babysitterRelation"/>
        <s v="interviewLocation"/>
        <s v="eyeSurgeryReason"/>
        <s v="medicationUse"/>
        <s v="eye"/>
        <s v="vision"/>
        <s v="hearing"/>
        <s v="hearingImpaired"/>
        <s v="hearingAid"/>
        <s v="swallow"/>
        <s v="passiveMuscleTone"/>
        <s v="handPreference"/>
        <s v="protectiveReaction"/>
        <s v="limbMovement"/>
        <s v="deepTendonReflex"/>
        <s v="ankleClonus"/>
        <s v="plantarReflex"/>
        <s v="axisHeadNeck"/>
        <s v="axisTrunk"/>
        <s v="lowerLimbFunction"/>
        <s v="upperLimbFunction"/>
        <s v="handFunction"/>
        <s v="cerebralPalsyClass"/>
        <s v="examQuality"/>
        <s v="examFactorAffecting"/>
        <s v="BayleyIIIReasonNoSuccess"/>
        <s v="grossMotorFunctionLevel"/>
        <s v="followupStatus"/>
        <s v="reasonLossFollowUp"/>
        <s v="readmissionTimePeriod"/>
        <s v="readmissionPrimaryCause"/>
        <s v="readmissionLengthOfStay"/>
        <s v="childHealth"/>
        <s v="chartReview"/>
        <s v="severity"/>
        <s v="flagAdjudicatedOutcome"/>
        <s v="outcomeGroup"/>
        <m/>
      </sharedItems>
    </cacheField>
    <cacheField name="display_type" numFmtId="0">
      <sharedItems containsBlank="1">
        <s v="text"/>
        <s v="number"/>
        <s v="boolean"/>
        <s v="nomial"/>
        <s v="date"/>
        <s v="time"/>
        <s v="ordinal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3" sheet="03-1-death-disability-level-wit"/>
  </cacheSource>
  <cacheFields>
    <cacheField name="_study" numFmtId="0">
      <sharedItems>
        <s v="LH"/>
        <s v="OC"/>
      </sharedItems>
    </cacheField>
    <cacheField name="deathDisabilityLevel" numFmtId="0">
      <sharedItems>
        <s v="death"/>
        <s v="mild"/>
        <s v="moderate"/>
        <s v="normal"/>
        <s v="severe"/>
        <s v="missing"/>
      </sharedItems>
    </cacheField>
    <cacheField name="_count" numFmtId="0">
      <sharedItems containsSemiMixedTypes="0" containsString="0" containsNumber="1" containsInteger="1">
        <n v="18.0"/>
        <n v="28.0"/>
        <n v="2.0"/>
        <n v="88.0"/>
        <n v="21.0"/>
        <n v="56.0"/>
        <n v="71.0"/>
        <n v="4.0"/>
        <n v="160.0"/>
        <n v="50.0"/>
        <n v="11.0"/>
        <n v="23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02-2-filename-distribution" cacheId="0" dataCaption="" compact="0" compactData="0">
  <location ref="A1:B71" firstHeaderRow="0" firstDataRow="1" firstDataCol="0"/>
  <pivotFields>
    <pivotField name="filename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x="32"/>
        <item x="33"/>
        <item x="35"/>
        <item x="34"/>
        <item x="37"/>
        <item x="38"/>
        <item x="36"/>
        <item x="40"/>
        <item x="39"/>
        <item x="41"/>
        <item x="42"/>
        <item x="43"/>
        <item x="44"/>
        <item x="45"/>
        <item x="46"/>
        <item x="47"/>
        <item x="48"/>
        <item x="49"/>
        <item x="50"/>
        <item x="52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t="default"/>
      </items>
    </pivotField>
    <pivotField name="with-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t="default"/>
      </items>
    </pivotField>
    <pivotField name="emp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L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t="default"/>
      </items>
    </pivotField>
    <pivotField name="O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t="default"/>
      </items>
    </pivotField>
    <pivotField name="display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heet" compact="0" outline="0" multipleItemSelectionAllowed="1" showAll="0">
      <items>
        <item x="0"/>
        <item x="1"/>
        <item x="2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ummary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none" compact="0" outline="0" multipleItemSelectionAllowed="1" showAll="0">
      <items>
        <item x="0"/>
        <item x="1"/>
        <item x="2"/>
        <item t="default"/>
      </items>
    </pivotField>
    <pivotField name="LH-only" compact="0" outline="0" multipleItemSelectionAllowed="1" showAll="0">
      <items>
        <item x="0"/>
        <item x="1"/>
        <item x="2"/>
        <item t="default"/>
      </items>
    </pivotField>
    <pivotField name="OC-only" compact="0" outline="0" multipleItemSelectionAllowed="1" showAll="0">
      <items>
        <item x="0"/>
        <item x="1"/>
        <item x="2"/>
        <item t="default"/>
      </items>
    </pivotField>
    <pivotField name="both" compact="0" outline="0" multipleItemSelectionAllowed="1" showAll="0">
      <items>
        <item x="0"/>
        <item x="1"/>
        <item x="2"/>
        <item t="default"/>
      </items>
    </pivotField>
    <pivotField name="all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0"/>
  </rowFields>
  <dataFields>
    <dataField name="COUNTA of filename" fld="0" subtotal="count" baseField="0"/>
  </dataFields>
</pivotTableDefinition>
</file>

<file path=xl/pivotTables/pivotTable2.xml><?xml version="1.0" encoding="utf-8"?>
<pivotTableDefinition xmlns="http://schemas.openxmlformats.org/spreadsheetml/2006/main" name="02-2-filename-distribution 2" cacheId="1" dataCaption="" compact="0" compactData="0">
  <location ref="C1:D71" firstHeaderRow="0" firstDataRow="1" firstDataCol="0"/>
  <pivotFields>
    <pivotField name="file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x="32"/>
        <item x="33"/>
        <item x="35"/>
        <item x="34"/>
        <item x="37"/>
        <item x="38"/>
        <item x="36"/>
        <item x="40"/>
        <item x="39"/>
        <item x="41"/>
        <item x="42"/>
        <item x="43"/>
        <item x="44"/>
        <item x="45"/>
        <item x="46"/>
        <item x="47"/>
        <item x="48"/>
        <item x="49"/>
        <item x="50"/>
        <item x="52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isplay_typ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</rowFields>
  <dataFields>
    <dataField name="COUNTA of display_type" fld="3" subtotal="count" baseField="0"/>
  </dataFields>
</pivotTableDefinition>
</file>

<file path=xl/pivotTables/pivotTable3.xml><?xml version="1.0" encoding="utf-8"?>
<pivotTableDefinition xmlns="http://schemas.openxmlformats.org/spreadsheetml/2006/main" name="02-3-type-distribution" cacheId="1" dataCaption="" compact="0" compactData="0">
  <location ref="A1:B9" firstHeaderRow="0" firstDataRow="1" firstDataCol="0"/>
  <pivotFields>
    <pivotField name="file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isplay_type" axis="axisRow" dataField="1" compact="0" outline="0" multipleItemSelectionAllowed="1" showAll="0" sortType="ascending">
      <items>
        <item h="1" x="7"/>
        <item x="2"/>
        <item x="4"/>
        <item x="3"/>
        <item x="1"/>
        <item x="6"/>
        <item x="0"/>
        <item x="5"/>
        <item t="default"/>
      </items>
    </pivotField>
  </pivotFields>
  <rowFields>
    <field x="3"/>
  </rowFields>
  <dataFields>
    <dataField name="COUNTA of display_type" fld="3" subtotal="count" baseField="0"/>
  </dataFields>
</pivotTableDefinition>
</file>

<file path=xl/pivotTables/pivotTable4.xml><?xml version="1.0" encoding="utf-8"?>
<pivotTableDefinition xmlns="http://schemas.openxmlformats.org/spreadsheetml/2006/main" name="03-2-death-disability-level-dis" cacheId="2" dataCaption="" compact="0" compactData="0">
  <location ref="A1:H5" firstHeaderRow="0" firstDataRow="1" firstDataCol="1"/>
  <pivotFields>
    <pivotField name="_study" axis="axisRow" compact="0" outline="0" multipleItemSelectionAllowed="1" showAll="0" sortType="ascending">
      <items>
        <item x="0"/>
        <item x="1"/>
        <item t="default"/>
      </items>
    </pivotField>
    <pivotField name="deathDisabilityLevel" axis="axisCol" compact="0" outline="0" multipleItemSelectionAllowed="1" showAll="0" sortType="ascending">
      <items>
        <item x="0"/>
        <item x="1"/>
        <item x="5"/>
        <item x="2"/>
        <item x="3"/>
        <item x="4"/>
        <item t="default"/>
      </items>
    </pivotField>
    <pivotField name="_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SUM of _coun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0"/>
    <col customWidth="1" min="2" max="2" width="10.0"/>
    <col customWidth="1" min="3" max="3" width="29.88"/>
    <col customWidth="1" min="4" max="4" width="6.5"/>
    <col customWidth="1" min="5" max="5" width="23.13"/>
    <col customWidth="1" min="6" max="6" width="22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/>
    </row>
    <row r="2">
      <c r="A2" s="1" t="s">
        <v>5</v>
      </c>
      <c r="B2" s="1">
        <v>9.0</v>
      </c>
      <c r="C2" s="1" t="s">
        <v>6</v>
      </c>
      <c r="D2" s="2">
        <v>4.0</v>
      </c>
      <c r="E2" s="2" t="s">
        <v>7</v>
      </c>
      <c r="F2" s="1"/>
    </row>
    <row r="3">
      <c r="A3" s="1" t="s">
        <v>8</v>
      </c>
      <c r="B3" s="1">
        <v>36.0</v>
      </c>
      <c r="C3" s="1" t="s">
        <v>9</v>
      </c>
      <c r="D3" s="2"/>
      <c r="E3" s="2"/>
    </row>
    <row r="4">
      <c r="A4" s="1" t="s">
        <v>10</v>
      </c>
      <c r="B4" s="1">
        <v>6.0</v>
      </c>
      <c r="C4" s="1" t="s">
        <v>11</v>
      </c>
      <c r="D4" s="2"/>
      <c r="E4" s="2"/>
    </row>
    <row r="5">
      <c r="A5" s="1" t="s">
        <v>12</v>
      </c>
      <c r="B5" s="1">
        <v>9.0</v>
      </c>
      <c r="C5" s="1" t="s">
        <v>13</v>
      </c>
      <c r="D5" s="2"/>
      <c r="E5" s="2"/>
    </row>
    <row r="6">
      <c r="A6" s="1" t="s">
        <v>14</v>
      </c>
      <c r="B6" s="1">
        <v>27.0</v>
      </c>
      <c r="C6" s="1" t="s">
        <v>15</v>
      </c>
      <c r="D6" s="2"/>
      <c r="E6" s="2"/>
    </row>
    <row r="7">
      <c r="A7" s="1" t="s">
        <v>16</v>
      </c>
      <c r="B7" s="1">
        <v>0.0</v>
      </c>
      <c r="C7" s="1" t="s">
        <v>17</v>
      </c>
      <c r="D7" s="2"/>
      <c r="E7" s="2"/>
    </row>
    <row r="8">
      <c r="A8" s="1" t="s">
        <v>18</v>
      </c>
      <c r="B8" s="1">
        <v>0.0</v>
      </c>
      <c r="C8" s="1" t="s">
        <v>17</v>
      </c>
      <c r="D8" s="2"/>
      <c r="E8" s="2"/>
    </row>
    <row r="9">
      <c r="A9" s="1" t="s">
        <v>19</v>
      </c>
      <c r="B9" s="1">
        <v>57.0</v>
      </c>
      <c r="C9" s="1" t="s">
        <v>20</v>
      </c>
      <c r="D9" s="2"/>
      <c r="E9" s="2"/>
    </row>
    <row r="10">
      <c r="A10" s="1" t="s">
        <v>21</v>
      </c>
      <c r="B10" s="1">
        <v>0.0</v>
      </c>
      <c r="C10" s="1" t="s">
        <v>17</v>
      </c>
      <c r="D10" s="2"/>
      <c r="E10" s="2"/>
    </row>
    <row r="11">
      <c r="A11" s="1" t="s">
        <v>22</v>
      </c>
      <c r="B11" s="1">
        <v>22.0</v>
      </c>
      <c r="C11" s="1" t="s">
        <v>23</v>
      </c>
      <c r="D11" s="2"/>
      <c r="E11" s="2"/>
    </row>
    <row r="12">
      <c r="A12" s="1" t="s">
        <v>24</v>
      </c>
      <c r="B12" s="1">
        <v>9.0</v>
      </c>
      <c r="C12" s="1" t="s">
        <v>25</v>
      </c>
      <c r="D12" s="2"/>
      <c r="E12" s="2"/>
    </row>
    <row r="13">
      <c r="A13" s="1" t="s">
        <v>26</v>
      </c>
      <c r="B13" s="1">
        <v>7.0</v>
      </c>
      <c r="C13" s="1" t="s">
        <v>27</v>
      </c>
      <c r="D13" s="2"/>
      <c r="E13" s="2"/>
    </row>
    <row r="14">
      <c r="A14" s="1" t="s">
        <v>28</v>
      </c>
      <c r="B14" s="1">
        <v>8.0</v>
      </c>
      <c r="C14" s="1" t="s">
        <v>29</v>
      </c>
      <c r="D14" s="2"/>
      <c r="E14" s="2"/>
    </row>
    <row r="15">
      <c r="A15" s="1" t="s">
        <v>30</v>
      </c>
      <c r="B15" s="1">
        <v>15.0</v>
      </c>
      <c r="C15" s="1" t="s">
        <v>31</v>
      </c>
      <c r="D15" s="2"/>
      <c r="E15" s="2"/>
    </row>
    <row r="16">
      <c r="A16" s="1" t="s">
        <v>32</v>
      </c>
      <c r="B16" s="1">
        <v>16.0</v>
      </c>
      <c r="C16" s="1" t="s">
        <v>33</v>
      </c>
      <c r="D16" s="2"/>
      <c r="E16" s="2"/>
    </row>
    <row r="17">
      <c r="A17" s="1" t="s">
        <v>34</v>
      </c>
      <c r="B17" s="1">
        <v>3.0</v>
      </c>
      <c r="C17" s="1" t="s">
        <v>35</v>
      </c>
      <c r="D17" s="2"/>
      <c r="E17" s="2"/>
    </row>
    <row r="18">
      <c r="A18" s="1" t="s">
        <v>36</v>
      </c>
      <c r="B18" s="1">
        <v>11.0</v>
      </c>
      <c r="C18" s="1" t="s">
        <v>37</v>
      </c>
      <c r="D18" s="2"/>
      <c r="E18" s="2"/>
    </row>
    <row r="19">
      <c r="A19" s="1" t="s">
        <v>38</v>
      </c>
      <c r="B19" s="1">
        <v>10.0</v>
      </c>
      <c r="C19" s="1" t="s">
        <v>39</v>
      </c>
      <c r="D19" s="2"/>
      <c r="E19" s="2"/>
    </row>
    <row r="20">
      <c r="A20" s="1" t="s">
        <v>40</v>
      </c>
      <c r="B20" s="1">
        <v>9.0</v>
      </c>
      <c r="C20" s="1" t="s">
        <v>41</v>
      </c>
      <c r="D20" s="2"/>
      <c r="E20" s="2"/>
    </row>
    <row r="21">
      <c r="A21" s="1" t="s">
        <v>42</v>
      </c>
      <c r="B21" s="1">
        <v>14.0</v>
      </c>
      <c r="C21" s="1" t="s">
        <v>43</v>
      </c>
      <c r="D21" s="2"/>
      <c r="E21" s="2"/>
    </row>
    <row r="22">
      <c r="A22" s="1" t="s">
        <v>44</v>
      </c>
      <c r="B22" s="1">
        <v>12.0</v>
      </c>
      <c r="C22" s="1" t="s">
        <v>45</v>
      </c>
      <c r="D22" s="2"/>
      <c r="E22" s="2"/>
    </row>
    <row r="23">
      <c r="A23" s="1" t="s">
        <v>46</v>
      </c>
      <c r="B23" s="1">
        <v>4.0</v>
      </c>
      <c r="C23" s="1" t="s">
        <v>47</v>
      </c>
      <c r="D23" s="2"/>
      <c r="E23" s="2"/>
    </row>
    <row r="24">
      <c r="A24" s="1" t="s">
        <v>48</v>
      </c>
      <c r="B24" s="1">
        <v>58.0</v>
      </c>
      <c r="C24" s="1" t="s">
        <v>49</v>
      </c>
      <c r="D24" s="2"/>
      <c r="E24" s="2"/>
    </row>
    <row r="25">
      <c r="A25" s="1" t="s">
        <v>50</v>
      </c>
      <c r="B25" s="1">
        <v>10.0</v>
      </c>
      <c r="C25" s="1" t="s">
        <v>51</v>
      </c>
      <c r="D25" s="2"/>
      <c r="E25" s="2"/>
    </row>
    <row r="26">
      <c r="A26" s="1" t="s">
        <v>52</v>
      </c>
      <c r="B26" s="1">
        <v>9.0</v>
      </c>
      <c r="C26" s="1" t="s">
        <v>53</v>
      </c>
      <c r="D26" s="2"/>
      <c r="E26" s="2"/>
    </row>
    <row r="27">
      <c r="A27" s="1" t="s">
        <v>54</v>
      </c>
      <c r="B27" s="1">
        <v>16.0</v>
      </c>
      <c r="C27" s="1" t="s">
        <v>55</v>
      </c>
      <c r="D27" s="2"/>
      <c r="E27" s="2"/>
    </row>
    <row r="28">
      <c r="A28" s="1" t="s">
        <v>56</v>
      </c>
      <c r="B28" s="1">
        <v>14.0</v>
      </c>
      <c r="C28" s="1" t="s">
        <v>57</v>
      </c>
      <c r="D28" s="2"/>
      <c r="E28" s="2"/>
    </row>
    <row r="29">
      <c r="A29" s="1" t="s">
        <v>58</v>
      </c>
      <c r="B29" s="1">
        <v>9.0</v>
      </c>
      <c r="C29" s="1" t="s">
        <v>59</v>
      </c>
      <c r="D29" s="2"/>
      <c r="E29" s="2"/>
    </row>
    <row r="30">
      <c r="A30" s="1" t="s">
        <v>60</v>
      </c>
      <c r="B30" s="1">
        <v>10.0</v>
      </c>
      <c r="C30" s="1" t="s">
        <v>61</v>
      </c>
      <c r="D30" s="2"/>
      <c r="E30" s="2"/>
    </row>
    <row r="31">
      <c r="A31" s="1" t="s">
        <v>62</v>
      </c>
      <c r="B31" s="1">
        <v>55.0</v>
      </c>
      <c r="C31" s="1" t="s">
        <v>63</v>
      </c>
      <c r="D31" s="2"/>
      <c r="E31" s="2"/>
    </row>
    <row r="32">
      <c r="A32" s="1" t="s">
        <v>64</v>
      </c>
      <c r="B32" s="1">
        <v>9.0</v>
      </c>
      <c r="C32" s="1" t="s">
        <v>65</v>
      </c>
      <c r="D32" s="2"/>
      <c r="E32" s="2"/>
    </row>
    <row r="33">
      <c r="A33" s="1" t="s">
        <v>66</v>
      </c>
      <c r="B33" s="1">
        <v>9.0</v>
      </c>
      <c r="C33" s="1" t="s">
        <v>67</v>
      </c>
      <c r="D33" s="2"/>
      <c r="E33" s="2"/>
    </row>
    <row r="34">
      <c r="A34" s="1" t="s">
        <v>68</v>
      </c>
      <c r="B34" s="1">
        <v>12.0</v>
      </c>
      <c r="C34" s="1" t="s">
        <v>69</v>
      </c>
      <c r="D34" s="2"/>
      <c r="E34" s="2"/>
    </row>
    <row r="35">
      <c r="A35" s="1" t="s">
        <v>70</v>
      </c>
      <c r="B35" s="1">
        <v>7.0</v>
      </c>
      <c r="C35" s="1" t="s">
        <v>71</v>
      </c>
      <c r="D35" s="2"/>
      <c r="E35" s="2"/>
    </row>
    <row r="36">
      <c r="A36" s="1" t="s">
        <v>72</v>
      </c>
      <c r="B36" s="1">
        <v>7.0</v>
      </c>
      <c r="C36" s="1" t="s">
        <v>73</v>
      </c>
      <c r="D36" s="2"/>
      <c r="E36" s="2"/>
    </row>
    <row r="37">
      <c r="A37" s="1" t="s">
        <v>74</v>
      </c>
      <c r="B37" s="1">
        <v>6.0</v>
      </c>
      <c r="C37" s="1" t="s">
        <v>75</v>
      </c>
      <c r="D37" s="2"/>
      <c r="E37" s="2"/>
    </row>
    <row r="38">
      <c r="A38" s="1" t="s">
        <v>76</v>
      </c>
      <c r="B38" s="1">
        <v>15.0</v>
      </c>
      <c r="C38" s="1" t="s">
        <v>77</v>
      </c>
      <c r="D38" s="2"/>
      <c r="E38" s="2"/>
    </row>
    <row r="39">
      <c r="A39" s="1" t="s">
        <v>78</v>
      </c>
      <c r="B39" s="1">
        <v>19.0</v>
      </c>
      <c r="C39" s="1" t="s">
        <v>79</v>
      </c>
      <c r="D39" s="2"/>
      <c r="E39" s="2"/>
    </row>
    <row r="40">
      <c r="A40" s="1" t="s">
        <v>80</v>
      </c>
      <c r="B40" s="1">
        <v>3.0</v>
      </c>
      <c r="C40" s="1" t="s">
        <v>81</v>
      </c>
      <c r="D40" s="2"/>
      <c r="E40" s="2"/>
    </row>
    <row r="41">
      <c r="A41" s="1" t="s">
        <v>82</v>
      </c>
      <c r="B41" s="1">
        <v>55.0</v>
      </c>
      <c r="C41" s="1" t="s">
        <v>83</v>
      </c>
      <c r="D41" s="2"/>
      <c r="E41" s="2"/>
    </row>
    <row r="42">
      <c r="A42" s="1" t="s">
        <v>84</v>
      </c>
      <c r="B42" s="1">
        <v>65.0</v>
      </c>
      <c r="C42" s="1" t="s">
        <v>85</v>
      </c>
      <c r="D42" s="2"/>
      <c r="E42" s="2"/>
    </row>
    <row r="43">
      <c r="A43" s="1" t="s">
        <v>86</v>
      </c>
      <c r="B43" s="1">
        <v>2.0</v>
      </c>
      <c r="C43" s="1" t="s">
        <v>87</v>
      </c>
      <c r="D43" s="2"/>
      <c r="E43" s="2"/>
    </row>
    <row r="44">
      <c r="A44" s="1" t="s">
        <v>88</v>
      </c>
      <c r="B44" s="1">
        <v>19.0</v>
      </c>
      <c r="C44" s="1" t="s">
        <v>89</v>
      </c>
      <c r="D44" s="2"/>
      <c r="E44" s="2"/>
    </row>
    <row r="45">
      <c r="A45" s="1" t="s">
        <v>90</v>
      </c>
      <c r="B45" s="1">
        <v>1.0</v>
      </c>
      <c r="C45" s="1" t="s">
        <v>91</v>
      </c>
      <c r="D45" s="2"/>
      <c r="E45" s="2"/>
    </row>
    <row r="46">
      <c r="A46" s="1" t="s">
        <v>92</v>
      </c>
      <c r="B46" s="1">
        <v>7.0</v>
      </c>
      <c r="C46" s="1" t="s">
        <v>93</v>
      </c>
      <c r="D46" s="2"/>
      <c r="E46" s="2"/>
    </row>
    <row r="47">
      <c r="A47" s="1" t="s">
        <v>94</v>
      </c>
      <c r="B47" s="1">
        <v>14.0</v>
      </c>
      <c r="C47" s="1" t="s">
        <v>95</v>
      </c>
      <c r="D47" s="2"/>
      <c r="E47" s="2"/>
    </row>
    <row r="48">
      <c r="A48" s="1" t="s">
        <v>96</v>
      </c>
      <c r="B48" s="1">
        <v>1.0</v>
      </c>
      <c r="C48" s="1" t="s">
        <v>97</v>
      </c>
      <c r="D48" s="2"/>
      <c r="E48" s="2"/>
    </row>
    <row r="49">
      <c r="A49" s="1" t="s">
        <v>98</v>
      </c>
      <c r="B49" s="1">
        <v>3.0</v>
      </c>
      <c r="C49" s="1" t="s">
        <v>99</v>
      </c>
      <c r="D49" s="2"/>
      <c r="E49" s="2"/>
    </row>
    <row r="50">
      <c r="A50" s="1" t="s">
        <v>100</v>
      </c>
      <c r="B50" s="1">
        <v>3.0</v>
      </c>
      <c r="C50" s="1" t="s">
        <v>101</v>
      </c>
      <c r="D50" s="2"/>
      <c r="E50" s="2"/>
    </row>
    <row r="51">
      <c r="A51" s="1" t="s">
        <v>102</v>
      </c>
      <c r="B51" s="1">
        <v>6.0</v>
      </c>
      <c r="C51" s="1" t="s">
        <v>103</v>
      </c>
      <c r="D51" s="2"/>
      <c r="E51" s="2"/>
    </row>
    <row r="52">
      <c r="A52" s="1" t="s">
        <v>104</v>
      </c>
      <c r="B52" s="1">
        <v>13.0</v>
      </c>
      <c r="C52" s="1" t="s">
        <v>105</v>
      </c>
      <c r="D52" s="2"/>
      <c r="E52" s="2"/>
    </row>
    <row r="53">
      <c r="A53" s="1" t="s">
        <v>106</v>
      </c>
      <c r="B53" s="1">
        <v>2.0</v>
      </c>
      <c r="C53" s="1" t="s">
        <v>107</v>
      </c>
      <c r="D53" s="2"/>
      <c r="E53" s="2"/>
    </row>
    <row r="54">
      <c r="A54" s="1" t="s">
        <v>108</v>
      </c>
      <c r="B54" s="1">
        <v>2.0</v>
      </c>
      <c r="C54" s="1" t="s">
        <v>109</v>
      </c>
      <c r="D54" s="2"/>
      <c r="E54" s="2"/>
    </row>
    <row r="55">
      <c r="A55" s="1" t="s">
        <v>110</v>
      </c>
      <c r="B55" s="1">
        <v>4.0</v>
      </c>
      <c r="C55" s="1" t="s">
        <v>111</v>
      </c>
      <c r="D55" s="2"/>
      <c r="E55" s="2"/>
    </row>
    <row r="56">
      <c r="A56" s="1" t="s">
        <v>112</v>
      </c>
      <c r="B56" s="1">
        <v>19.0</v>
      </c>
      <c r="C56" s="1" t="s">
        <v>113</v>
      </c>
      <c r="D56" s="2"/>
      <c r="E56" s="2"/>
    </row>
    <row r="57">
      <c r="A57" s="1" t="s">
        <v>114</v>
      </c>
      <c r="B57" s="1">
        <v>3.0</v>
      </c>
      <c r="C57" s="1" t="s">
        <v>115</v>
      </c>
      <c r="D57" s="2"/>
      <c r="E57" s="2"/>
    </row>
    <row r="58">
      <c r="A58" s="1" t="s">
        <v>116</v>
      </c>
      <c r="B58" s="1">
        <v>15.0</v>
      </c>
      <c r="C58" s="1" t="s">
        <v>117</v>
      </c>
      <c r="D58" s="2"/>
      <c r="E58" s="2"/>
    </row>
    <row r="59">
      <c r="A59" s="1" t="s">
        <v>118</v>
      </c>
      <c r="B59" s="1">
        <v>2.0</v>
      </c>
      <c r="C59" s="1" t="s">
        <v>119</v>
      </c>
      <c r="D59" s="2"/>
      <c r="E59" s="2"/>
    </row>
    <row r="60">
      <c r="A60" s="1" t="s">
        <v>120</v>
      </c>
      <c r="B60" s="1">
        <v>9.0</v>
      </c>
      <c r="C60" s="1" t="s">
        <v>121</v>
      </c>
      <c r="D60" s="2"/>
      <c r="E60" s="2"/>
    </row>
    <row r="61">
      <c r="A61" s="1" t="s">
        <v>122</v>
      </c>
      <c r="B61" s="1">
        <v>13.0</v>
      </c>
      <c r="C61" s="1" t="s">
        <v>123</v>
      </c>
      <c r="D61" s="2"/>
      <c r="E61" s="2"/>
    </row>
    <row r="62">
      <c r="A62" s="1" t="s">
        <v>124</v>
      </c>
      <c r="B62" s="1">
        <v>11.0</v>
      </c>
      <c r="C62" s="1" t="s">
        <v>125</v>
      </c>
      <c r="D62" s="2"/>
      <c r="E62" s="2"/>
    </row>
    <row r="63">
      <c r="A63" s="1" t="s">
        <v>126</v>
      </c>
      <c r="B63" s="1">
        <v>0.0</v>
      </c>
      <c r="C63" s="1" t="s">
        <v>17</v>
      </c>
      <c r="D63" s="2"/>
      <c r="E63" s="2"/>
    </row>
    <row r="64">
      <c r="A64" s="1" t="s">
        <v>127</v>
      </c>
      <c r="B64" s="1">
        <v>73.0</v>
      </c>
      <c r="C64" s="1" t="s">
        <v>128</v>
      </c>
      <c r="D64" s="2"/>
      <c r="E64" s="2"/>
    </row>
    <row r="65">
      <c r="A65" s="1" t="s">
        <v>129</v>
      </c>
      <c r="B65" s="1">
        <v>63.0</v>
      </c>
      <c r="C65" s="1" t="s">
        <v>130</v>
      </c>
      <c r="D65" s="2"/>
      <c r="E65" s="2"/>
    </row>
    <row r="66">
      <c r="A66" s="1" t="s">
        <v>131</v>
      </c>
      <c r="B66" s="1">
        <v>94.0</v>
      </c>
      <c r="C66" s="1" t="s">
        <v>132</v>
      </c>
      <c r="D66" s="2"/>
      <c r="E66" s="2"/>
    </row>
    <row r="67">
      <c r="A67" s="1" t="s">
        <v>133</v>
      </c>
      <c r="B67" s="1">
        <v>40.0</v>
      </c>
      <c r="C67" s="1" t="s">
        <v>134</v>
      </c>
      <c r="D67" s="2"/>
      <c r="E67" s="2"/>
    </row>
    <row r="68">
      <c r="A68" s="1" t="s">
        <v>135</v>
      </c>
      <c r="B68" s="1">
        <v>1.0</v>
      </c>
      <c r="C68" s="1" t="s">
        <v>136</v>
      </c>
      <c r="D68" s="2"/>
      <c r="E68" s="2"/>
    </row>
    <row r="69">
      <c r="A69" s="1" t="s">
        <v>137</v>
      </c>
      <c r="B69" s="1">
        <v>8.0</v>
      </c>
      <c r="C69" s="1" t="s">
        <v>138</v>
      </c>
      <c r="D69" s="2"/>
      <c r="E69" s="2"/>
    </row>
    <row r="70">
      <c r="A70" s="1" t="s">
        <v>139</v>
      </c>
      <c r="B70" s="1">
        <v>6.0</v>
      </c>
      <c r="C70" s="1" t="s">
        <v>140</v>
      </c>
      <c r="D70" s="2"/>
      <c r="E70" s="2"/>
    </row>
    <row r="71">
      <c r="A71" s="1" t="s">
        <v>141</v>
      </c>
      <c r="B71" s="1">
        <v>57.0</v>
      </c>
      <c r="C71" s="3" t="s">
        <v>142</v>
      </c>
      <c r="D71" s="2"/>
      <c r="E71" s="2"/>
    </row>
    <row r="72">
      <c r="A72" s="1" t="s">
        <v>143</v>
      </c>
      <c r="B72" s="1">
        <v>9.0</v>
      </c>
      <c r="C72" s="3" t="s">
        <v>144</v>
      </c>
      <c r="D72" s="2"/>
      <c r="E72" s="2"/>
    </row>
    <row r="73">
      <c r="A73" s="1" t="s">
        <v>145</v>
      </c>
      <c r="B73" s="1">
        <v>12.0</v>
      </c>
      <c r="C73" s="3" t="s">
        <v>146</v>
      </c>
      <c r="D73" s="4"/>
      <c r="E73" s="4"/>
    </row>
    <row r="74">
      <c r="A74" s="1" t="s">
        <v>147</v>
      </c>
      <c r="B74" s="1">
        <v>1.0</v>
      </c>
      <c r="C74" s="3" t="s">
        <v>148</v>
      </c>
      <c r="D74" s="4"/>
      <c r="E74" s="4"/>
    </row>
    <row r="75">
      <c r="C75" s="5"/>
      <c r="D75" s="4"/>
      <c r="E75" s="4"/>
    </row>
    <row r="76">
      <c r="D76" s="4"/>
      <c r="E76" s="4"/>
    </row>
    <row r="77">
      <c r="D77" s="4"/>
      <c r="E77" s="4"/>
    </row>
    <row r="78">
      <c r="B78" s="1">
        <f>SUM(B2:B74)</f>
        <v>1185</v>
      </c>
      <c r="D78" s="1">
        <f>SUM(D2:D73)</f>
        <v>4</v>
      </c>
      <c r="E78" s="4">
        <f>B78-D78</f>
        <v>1181</v>
      </c>
    </row>
    <row r="79">
      <c r="D79" s="4"/>
      <c r="E79" s="4"/>
    </row>
    <row r="80">
      <c r="D80" s="4"/>
      <c r="E8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25"/>
    <col customWidth="1" min="2" max="2" width="2.88"/>
    <col customWidth="1" min="3" max="3" width="88.88"/>
    <col customWidth="1" min="4" max="4" width="6.88"/>
    <col customWidth="1" min="5" max="5" width="3.88"/>
    <col customWidth="1" min="6" max="6" width="21.25"/>
    <col customWidth="1" min="7" max="7" width="24.75"/>
    <col customWidth="1" min="8" max="8" width="28.88"/>
    <col customWidth="1" min="9" max="9" width="26.75"/>
    <col customWidth="1" min="10" max="10" width="42.0"/>
    <col customWidth="1" min="11" max="11" width="45.13"/>
    <col customWidth="1" min="12" max="12" width="38.38"/>
    <col customWidth="1" min="13" max="13" width="42.75"/>
    <col customWidth="1" min="14" max="14" width="45.88"/>
    <col customWidth="1" min="15" max="15" width="37.75"/>
    <col customWidth="1" min="16" max="16" width="51.63"/>
    <col customWidth="1" min="17" max="17" width="38.75"/>
    <col customWidth="1" min="18" max="18" width="36.63"/>
    <col customWidth="1" min="19" max="19" width="35.88"/>
    <col customWidth="1" min="20" max="20" width="44.63"/>
    <col customWidth="1" min="21" max="21" width="30.38"/>
    <col customWidth="1" min="22" max="22" width="38.38"/>
    <col customWidth="1" min="23" max="23" width="39.13"/>
    <col customWidth="1" min="24" max="24" width="33.63"/>
    <col customWidth="1" min="25" max="25" width="33.75"/>
    <col customWidth="1" min="26" max="26" width="31.0"/>
    <col customWidth="1" min="27" max="27" width="35.63"/>
    <col customWidth="1" min="28" max="28" width="30.5"/>
    <col customWidth="1" min="29" max="29" width="28.75"/>
    <col customWidth="1" min="30" max="30" width="36.63"/>
    <col customWidth="1" min="31" max="31" width="36.5"/>
    <col customWidth="1" min="32" max="32" width="27.63"/>
    <col customWidth="1" min="33" max="33" width="29.0"/>
    <col customWidth="1" min="34" max="34" width="28.88"/>
    <col customWidth="1" min="35" max="35" width="33.38"/>
    <col customWidth="1" min="36" max="36" width="29.0"/>
    <col customWidth="1" min="37" max="37" width="32.5"/>
    <col customWidth="1" min="38" max="38" width="29.75"/>
    <col customWidth="1" min="39" max="39" width="26.13"/>
    <col customWidth="1" min="40" max="40" width="28.63"/>
    <col customWidth="1" min="41" max="41" width="32.13"/>
    <col customWidth="1" min="42" max="42" width="34.75"/>
    <col customWidth="1" min="43" max="43" width="33.75"/>
    <col customWidth="1" min="44" max="44" width="36.75"/>
    <col customWidth="1" min="45" max="45" width="29.75"/>
    <col customWidth="1" min="46" max="46" width="30.13"/>
    <col customWidth="1" min="47" max="47" width="31.25"/>
    <col customWidth="1" min="48" max="48" width="30.0"/>
    <col customWidth="1" min="49" max="49" width="28.88"/>
    <col customWidth="1" min="50" max="50" width="28.38"/>
    <col customWidth="1" min="51" max="51" width="31.13"/>
    <col customWidth="1" min="52" max="52" width="30.5"/>
    <col customWidth="1" min="53" max="53" width="34.25"/>
    <col customWidth="1" min="54" max="54" width="25.75"/>
    <col customWidth="1" min="55" max="55" width="29.25"/>
    <col customWidth="1" min="56" max="56" width="30.25"/>
    <col customWidth="1" min="57" max="57" width="30.13"/>
    <col customWidth="1" min="58" max="58" width="30.5"/>
    <col customWidth="1" min="59" max="59" width="33.5"/>
    <col customWidth="1" min="60" max="60" width="36.25"/>
    <col customWidth="1" min="61" max="61" width="39.38"/>
    <col customWidth="1" min="62" max="62" width="29.5"/>
    <col customWidth="1" min="63" max="63" width="33.0"/>
    <col customWidth="1" min="64" max="64" width="20.13"/>
    <col customWidth="1" min="65" max="65" width="25.38"/>
    <col customWidth="1" min="66" max="66" width="23.38"/>
    <col customWidth="1" min="67" max="67" width="28.25"/>
    <col customWidth="1" min="68" max="68" width="20.13"/>
    <col customWidth="1" min="69" max="69" width="25.63"/>
    <col customWidth="1" min="70" max="70" width="25.0"/>
    <col customWidth="1" min="71" max="71" width="28.25"/>
    <col customWidth="1" min="72" max="72" width="27.75"/>
    <col customWidth="1" min="73" max="73" width="27.5"/>
    <col customWidth="1" min="74" max="74" width="29.25"/>
    <col customWidth="1" min="75" max="75" width="30.13"/>
    <col customWidth="1" min="76" max="76" width="31.88"/>
    <col customWidth="1" min="77" max="77" width="31.25"/>
    <col customWidth="1" min="78" max="78" width="33.0"/>
    <col customWidth="1" min="79" max="79" width="19.63"/>
    <col customWidth="1" min="80" max="80" width="15.63"/>
    <col customWidth="1" min="81" max="81" width="24.38"/>
    <col customWidth="1" min="82" max="82" width="26.13"/>
    <col customWidth="1" min="83" max="83" width="25.5"/>
    <col customWidth="1" min="84" max="84" width="27.25"/>
    <col customWidth="1" min="85" max="85" width="21.63"/>
    <col customWidth="1" min="86" max="86" width="23.5"/>
    <col customWidth="1" min="87" max="87" width="22.75"/>
    <col customWidth="1" min="88" max="88" width="24.5"/>
    <col customWidth="1" min="89" max="89" width="23.13"/>
    <col customWidth="1" min="90" max="90" width="18.75"/>
    <col customWidth="1" min="91" max="91" width="21.13"/>
    <col customWidth="1" min="92" max="92" width="29.63"/>
    <col customWidth="1" min="93" max="93" width="32.75"/>
    <col customWidth="1" min="94" max="94" width="38.75"/>
    <col customWidth="1" min="95" max="95" width="17.25"/>
    <col customWidth="1" min="96" max="96" width="17.63"/>
    <col customWidth="1" min="97" max="97" width="22.5"/>
    <col customWidth="1" min="98" max="98" width="19.25"/>
    <col customWidth="1" min="99" max="99" width="17.13"/>
    <col customWidth="1" min="100" max="100" width="18.88"/>
    <col customWidth="1" min="101" max="101" width="20.63"/>
    <col customWidth="1" min="102" max="102" width="19.63"/>
    <col customWidth="1" min="103" max="103" width="18.88"/>
    <col customWidth="1" min="104" max="104" width="20.63"/>
    <col customWidth="1" min="105" max="105" width="23.63"/>
    <col customWidth="1" min="106" max="106" width="25.38"/>
    <col customWidth="1" min="107" max="107" width="24.0"/>
    <col customWidth="1" min="108" max="108" width="25.75"/>
    <col customWidth="1" min="109" max="109" width="27.63"/>
    <col customWidth="1" min="110" max="110" width="19.75"/>
    <col customWidth="1" min="111" max="111" width="16.63"/>
    <col customWidth="1" min="112" max="112" width="8.38"/>
    <col customWidth="1" min="113" max="113" width="18.0"/>
    <col customWidth="1" min="114" max="114" width="19.75"/>
    <col customWidth="1" min="115" max="115" width="14.0"/>
    <col customWidth="1" min="116" max="116" width="13.63"/>
    <col customWidth="1" min="117" max="117" width="5.13"/>
    <col customWidth="1" min="118" max="118" width="12.88"/>
    <col customWidth="1" min="119" max="119" width="15.88"/>
    <col customWidth="1" min="120" max="120" width="6.38"/>
    <col customWidth="1" min="121" max="121" width="22.13"/>
    <col customWidth="1" min="122" max="122" width="11.25"/>
    <col customWidth="1" min="123" max="123" width="6.38"/>
    <col customWidth="1" min="124" max="124" width="12.13"/>
    <col customWidth="1" min="125" max="125" width="13.75"/>
    <col customWidth="1" min="126" max="126" width="11.0"/>
    <col customWidth="1" min="127" max="127" width="11.75"/>
    <col customWidth="1" min="128" max="128" width="6.13"/>
    <col customWidth="1" min="129" max="129" width="13.0"/>
    <col customWidth="1" min="130" max="130" width="16.88"/>
    <col customWidth="1" min="131" max="131" width="16.25"/>
    <col customWidth="1" min="132" max="132" width="8.0"/>
    <col customWidth="1" min="133" max="133" width="4.38"/>
    <col customWidth="1" min="134" max="134" width="6.63"/>
    <col customWidth="1" min="135" max="135" width="11.5"/>
    <col customWidth="1" min="136" max="136" width="10.5"/>
    <col customWidth="1" min="137" max="137" width="8.13"/>
    <col customWidth="1" min="138" max="138" width="14.88"/>
    <col customWidth="1" min="139" max="139" width="20.25"/>
    <col customWidth="1" min="140" max="140" width="17.88"/>
    <col customWidth="1" min="141" max="141" width="12.25"/>
    <col customWidth="1" min="142" max="142" width="12.63"/>
    <col customWidth="1" min="143" max="143" width="5.88"/>
    <col customWidth="1" min="144" max="144" width="6.5"/>
    <col customWidth="1" min="145" max="145" width="19.63"/>
    <col customWidth="1" min="146" max="146" width="11.75"/>
    <col customWidth="1" min="147" max="147" width="7.5"/>
    <col customWidth="1" min="148" max="148" width="21.5"/>
    <col customWidth="1" min="149" max="149" width="18.38"/>
    <col customWidth="1" min="150" max="150" width="5.88"/>
    <col customWidth="1" min="151" max="151" width="5.5"/>
    <col customWidth="1" min="152" max="152" width="15.5"/>
    <col customWidth="1" min="153" max="153" width="13.0"/>
    <col customWidth="1" min="154" max="154" width="11.88"/>
    <col customWidth="1" min="155" max="155" width="13.0"/>
    <col customWidth="1" min="156" max="156" width="11.88"/>
    <col customWidth="1" min="157" max="157" width="20.13"/>
    <col customWidth="1" min="158" max="158" width="19.0"/>
    <col customWidth="1" min="159" max="159" width="11.63"/>
    <col customWidth="1" min="160" max="160" width="10.63"/>
    <col customWidth="1" min="161" max="161" width="9.13"/>
    <col customWidth="1" min="162" max="162" width="8.0"/>
    <col customWidth="1" min="163" max="163" width="17.63"/>
    <col customWidth="1" min="164" max="164" width="26.25"/>
    <col customWidth="1" min="165" max="165" width="24.5"/>
    <col customWidth="1" min="166" max="166" width="8.38"/>
    <col customWidth="1" min="167" max="167" width="7.25"/>
    <col customWidth="1" min="168" max="168" width="12.88"/>
    <col customWidth="1" min="169" max="169" width="4.38"/>
    <col customWidth="1" min="170" max="170" width="8.38"/>
    <col customWidth="1" min="171" max="171" width="7.25"/>
    <col customWidth="1" min="172" max="172" width="16.5"/>
    <col customWidth="1" min="173" max="173" width="20.5"/>
    <col customWidth="1" min="174" max="174" width="19.38"/>
    <col customWidth="1" min="175" max="175" width="13.0"/>
    <col customWidth="1" min="176" max="176" width="18.5"/>
    <col customWidth="1" min="177" max="177" width="12.0"/>
    <col customWidth="1" min="178" max="178" width="9.0"/>
    <col customWidth="1" min="179" max="179" width="8.63"/>
    <col customWidth="1" min="180" max="180" width="8.25"/>
    <col customWidth="1" min="181" max="181" width="12.0"/>
    <col customWidth="1" min="182" max="182" width="6.88"/>
    <col customWidth="1" min="183" max="183" width="13.0"/>
    <col customWidth="1" min="184" max="184" width="22.75"/>
    <col customWidth="1" min="185" max="185" width="30.75"/>
    <col customWidth="1" min="186" max="186" width="32.5"/>
    <col customWidth="1" min="187" max="187" width="28.13"/>
    <col customWidth="1" min="188" max="188" width="23.5"/>
    <col customWidth="1" min="189" max="189" width="25.0"/>
    <col customWidth="1" min="190" max="190" width="23.88"/>
    <col customWidth="1" min="191" max="191" width="31.13"/>
    <col customWidth="1" min="192" max="192" width="30.0"/>
    <col customWidth="1" min="193" max="193" width="28.88"/>
    <col customWidth="1" min="194" max="194" width="27.75"/>
    <col customWidth="1" min="195" max="195" width="12.0"/>
    <col customWidth="1" min="196" max="196" width="19.75"/>
    <col customWidth="1" min="197" max="197" width="12.88"/>
    <col customWidth="1" min="198" max="198" width="14.75"/>
    <col customWidth="1" min="199" max="200" width="20.0"/>
    <col customWidth="1" min="201" max="201" width="30.25"/>
    <col customWidth="1" min="202" max="202" width="29.13"/>
    <col customWidth="1" min="203" max="203" width="22.63"/>
    <col customWidth="1" min="204" max="204" width="21.63"/>
    <col customWidth="1" min="205" max="205" width="23.0"/>
    <col customWidth="1" min="206" max="206" width="21.88"/>
    <col customWidth="1" min="207" max="207" width="14.0"/>
    <col customWidth="1" min="208" max="208" width="13.0"/>
    <col customWidth="1" min="209" max="209" width="14.75"/>
    <col customWidth="1" min="210" max="210" width="13.63"/>
    <col customWidth="1" min="211" max="211" width="11.75"/>
    <col customWidth="1" min="212" max="212" width="8.13"/>
    <col customWidth="1" min="213" max="213" width="15.0"/>
    <col customWidth="1" min="214" max="214" width="15.25"/>
    <col customWidth="1" min="215" max="215" width="15.0"/>
    <col customWidth="1" min="216" max="216" width="13.88"/>
    <col customWidth="1" min="217" max="217" width="11.0"/>
    <col customWidth="1" min="218" max="218" width="17.13"/>
    <col customWidth="1" min="219" max="219" width="8.75"/>
    <col customWidth="1" min="220" max="220" width="9.75"/>
    <col customWidth="1" min="221" max="221" width="12.88"/>
    <col customWidth="1" min="222" max="222" width="12.25"/>
    <col customWidth="1" min="223" max="223" width="18.38"/>
    <col customWidth="1" min="224" max="224" width="17.25"/>
    <col customWidth="1" min="225" max="225" width="15.63"/>
    <col customWidth="1" min="226" max="226" width="12.5"/>
    <col customWidth="1" min="227" max="227" width="7.25"/>
    <col customWidth="1" min="228" max="228" width="7.63"/>
    <col customWidth="1" min="229" max="229" width="14.13"/>
    <col customWidth="1" min="230" max="230" width="12.88"/>
    <col customWidth="1" min="231" max="231" width="14.75"/>
    <col customWidth="1" min="232" max="232" width="15.88"/>
    <col customWidth="1" min="233" max="233" width="20.13"/>
    <col customWidth="1" min="234" max="234" width="23.13"/>
    <col customWidth="1" min="235" max="235" width="11.13"/>
    <col customWidth="1" min="236" max="236" width="15.25"/>
    <col customWidth="1" min="237" max="237" width="29.63"/>
    <col customWidth="1" min="238" max="238" width="32.75"/>
    <col customWidth="1" min="239" max="239" width="10.0"/>
    <col customWidth="1" min="240" max="240" width="17.25"/>
    <col customWidth="1" min="241" max="241" width="10.25"/>
    <col customWidth="1" min="242" max="242" width="16.25"/>
    <col customWidth="1" min="243" max="243" width="19.25"/>
    <col customWidth="1" min="244" max="244" width="15.75"/>
    <col customWidth="1" min="245" max="245" width="20.0"/>
    <col customWidth="1" min="246" max="246" width="34.13"/>
    <col customWidth="1" min="247" max="247" width="37.25"/>
    <col customWidth="1" min="248" max="248" width="27.88"/>
    <col customWidth="1" min="249" max="249" width="42.0"/>
    <col customWidth="1" min="250" max="250" width="45.13"/>
    <col customWidth="1" min="251" max="251" width="28.63"/>
    <col customWidth="1" min="252" max="252" width="42.75"/>
    <col customWidth="1" min="253" max="253" width="45.88"/>
    <col customWidth="1" min="254" max="254" width="20.5"/>
    <col customWidth="1" min="255" max="255" width="34.75"/>
    <col customWidth="1" min="256" max="256" width="37.75"/>
    <col customWidth="1" min="257" max="257" width="21.75"/>
    <col customWidth="1" min="258" max="258" width="35.88"/>
    <col customWidth="1" min="259" max="259" width="39.0"/>
    <col customWidth="1" min="260" max="260" width="29.38"/>
    <col customWidth="1" min="261" max="261" width="38.38"/>
    <col customWidth="1" min="262" max="262" width="39.13"/>
    <col customWidth="1" min="263" max="263" width="32.5"/>
    <col customWidth="1" min="264" max="264" width="33.75"/>
    <col customWidth="1" min="265" max="265" width="17.63"/>
    <col customWidth="1" min="266" max="266" width="18.5"/>
    <col customWidth="1" min="267" max="267" width="22.25"/>
    <col customWidth="1" min="268" max="268" width="18.13"/>
    <col customWidth="1" min="269" max="269" width="19.0"/>
    <col customWidth="1" min="270" max="270" width="18.88"/>
    <col customWidth="1" min="271" max="271" width="19.75"/>
    <col customWidth="1" min="272" max="272" width="22.63"/>
    <col customWidth="1" min="273" max="273" width="22.75"/>
    <col customWidth="1" min="274" max="274" width="18.25"/>
    <col customWidth="1" min="275" max="275" width="19.0"/>
    <col customWidth="1" min="276" max="276" width="19.38"/>
    <col customWidth="1" min="277" max="277" width="20.25"/>
    <col customWidth="1" min="278" max="278" width="19.38"/>
    <col customWidth="1" min="279" max="279" width="19.63"/>
    <col customWidth="1" min="280" max="280" width="14.25"/>
    <col customWidth="1" min="281" max="281" width="22.13"/>
    <col customWidth="1" min="282" max="282" width="35.0"/>
    <col customWidth="1" min="283" max="283" width="12.25"/>
    <col customWidth="1" min="284" max="284" width="10.88"/>
    <col customWidth="1" min="285" max="285" width="12.13"/>
    <col customWidth="1" min="286" max="286" width="12.38"/>
    <col customWidth="1" min="287" max="287" width="12.75"/>
    <col customWidth="1" min="288" max="288" width="8.75"/>
    <col customWidth="1" min="289" max="289" width="10.0"/>
    <col customWidth="1" min="290" max="290" width="16.5"/>
    <col customWidth="1" min="291" max="291" width="10.38"/>
    <col customWidth="1" min="292" max="292" width="10.75"/>
    <col customWidth="1" min="293" max="293" width="13.63"/>
    <col customWidth="1" min="294" max="294" width="8.25"/>
    <col customWidth="1" min="295" max="295" width="15.88"/>
    <col customWidth="1" min="296" max="296" width="13.88"/>
    <col customWidth="1" min="297" max="297" width="12.63"/>
    <col customWidth="1" min="298" max="298" width="15.63"/>
    <col customWidth="1" min="299" max="299" width="9.38"/>
    <col customWidth="1" min="300" max="300" width="14.38"/>
    <col customWidth="1" min="301" max="301" width="33.63"/>
    <col customWidth="1" min="302" max="302" width="23.0"/>
    <col customWidth="1" min="303" max="303" width="25.13"/>
    <col customWidth="1" min="304" max="304" width="18.0"/>
    <col customWidth="1" min="305" max="305" width="32.63"/>
    <col customWidth="1" min="306" max="306" width="18.5"/>
    <col customWidth="1" min="307" max="307" width="17.25"/>
    <col customWidth="1" min="308" max="308" width="20.75"/>
    <col customWidth="1" min="309" max="309" width="27.5"/>
    <col customWidth="1" min="310" max="310" width="36.75"/>
    <col customWidth="1" min="311" max="311" width="23.63"/>
    <col customWidth="1" min="312" max="312" width="30.38"/>
    <col customWidth="1" min="313" max="313" width="16.25"/>
    <col customWidth="1" min="314" max="314" width="15.5"/>
    <col customWidth="1" min="315" max="315" width="18.5"/>
    <col customWidth="1" min="316" max="316" width="16.5"/>
    <col customWidth="1" min="317" max="317" width="16.88"/>
    <col customWidth="1" min="318" max="318" width="10.5"/>
    <col customWidth="1" min="319" max="319" width="14.75"/>
    <col customWidth="1" min="320" max="320" width="21.5"/>
    <col customWidth="1" min="321" max="321" width="11.13"/>
    <col customWidth="1" min="322" max="322" width="15.5"/>
    <col customWidth="1" min="323" max="323" width="23.75"/>
    <col customWidth="1" min="324" max="324" width="25.75"/>
    <col customWidth="1" min="325" max="326" width="20.0"/>
    <col customWidth="1" min="327" max="327" width="23.0"/>
    <col customWidth="1" min="328" max="328" width="18.0"/>
    <col customWidth="1" min="329" max="329" width="23.0"/>
    <col customWidth="1" min="330" max="330" width="19.25"/>
    <col customWidth="1" min="331" max="331" width="19.75"/>
    <col customWidth="1" min="332" max="332" width="13.25"/>
    <col customWidth="1" min="333" max="333" width="14.75"/>
    <col customWidth="1" min="334" max="334" width="24.5"/>
    <col customWidth="1" min="335" max="335" width="27.63"/>
    <col customWidth="1" min="336" max="336" width="27.88"/>
    <col customWidth="1" min="337" max="337" width="30.88"/>
    <col customWidth="1" min="338" max="338" width="33.75"/>
    <col customWidth="1" min="339" max="339" width="36.75"/>
    <col customWidth="1" min="340" max="340" width="26.63"/>
    <col customWidth="1" min="341" max="341" width="17.25"/>
    <col customWidth="1" min="342" max="342" width="20.25"/>
    <col customWidth="1" min="343" max="343" width="26.38"/>
    <col customWidth="1" min="344" max="344" width="25.63"/>
    <col customWidth="1" min="345" max="345" width="20.63"/>
    <col customWidth="1" min="346" max="346" width="25.5"/>
    <col customWidth="1" min="347" max="347" width="21.88"/>
    <col customWidth="1" min="348" max="348" width="22.38"/>
    <col customWidth="1" min="349" max="349" width="15.88"/>
    <col customWidth="1" min="350" max="350" width="17.38"/>
    <col customWidth="1" min="351" max="351" width="27.13"/>
    <col customWidth="1" min="352" max="352" width="30.13"/>
    <col customWidth="1" min="353" max="353" width="30.5"/>
    <col customWidth="1" min="354" max="354" width="33.5"/>
    <col customWidth="1" min="355" max="355" width="36.25"/>
    <col customWidth="1" min="356" max="356" width="39.38"/>
    <col customWidth="1" min="357" max="357" width="29.25"/>
    <col customWidth="1" min="358" max="358" width="9.38"/>
    <col customWidth="1" min="359" max="359" width="1.5"/>
  </cols>
  <sheetData>
    <row r="1">
      <c r="A1" s="1" t="s">
        <v>0</v>
      </c>
      <c r="B1" s="1" t="s">
        <v>149</v>
      </c>
      <c r="C1" s="1" t="s">
        <v>150</v>
      </c>
      <c r="D1" s="1" t="s">
        <v>3</v>
      </c>
      <c r="E1" s="1" t="s">
        <v>151</v>
      </c>
      <c r="F1" s="1">
        <v>1.0</v>
      </c>
      <c r="G1" s="6">
        <f t="shared" ref="G1:BQ1" si="1">F1+1</f>
        <v>2</v>
      </c>
      <c r="H1" s="6">
        <f t="shared" si="1"/>
        <v>3</v>
      </c>
      <c r="I1" s="6">
        <f t="shared" si="1"/>
        <v>4</v>
      </c>
      <c r="J1" s="6">
        <f t="shared" si="1"/>
        <v>5</v>
      </c>
      <c r="K1" s="6">
        <f t="shared" si="1"/>
        <v>6</v>
      </c>
      <c r="L1" s="6">
        <f t="shared" si="1"/>
        <v>7</v>
      </c>
      <c r="M1" s="6">
        <f t="shared" si="1"/>
        <v>8</v>
      </c>
      <c r="N1" s="6">
        <f t="shared" si="1"/>
        <v>9</v>
      </c>
      <c r="O1" s="6">
        <f t="shared" si="1"/>
        <v>10</v>
      </c>
      <c r="P1" s="6">
        <f t="shared" si="1"/>
        <v>11</v>
      </c>
      <c r="Q1" s="6">
        <f t="shared" si="1"/>
        <v>12</v>
      </c>
      <c r="R1" s="6">
        <f t="shared" si="1"/>
        <v>13</v>
      </c>
      <c r="S1" s="6">
        <f t="shared" si="1"/>
        <v>14</v>
      </c>
      <c r="T1" s="6">
        <f t="shared" si="1"/>
        <v>15</v>
      </c>
      <c r="U1" s="6">
        <f t="shared" si="1"/>
        <v>16</v>
      </c>
      <c r="V1" s="6">
        <f t="shared" si="1"/>
        <v>17</v>
      </c>
      <c r="W1" s="6">
        <f t="shared" si="1"/>
        <v>18</v>
      </c>
      <c r="X1" s="6">
        <f t="shared" si="1"/>
        <v>19</v>
      </c>
      <c r="Y1" s="6">
        <f t="shared" si="1"/>
        <v>20</v>
      </c>
      <c r="Z1" s="6">
        <f t="shared" si="1"/>
        <v>21</v>
      </c>
      <c r="AA1" s="6">
        <f t="shared" si="1"/>
        <v>22</v>
      </c>
      <c r="AB1" s="6">
        <f t="shared" si="1"/>
        <v>23</v>
      </c>
      <c r="AC1" s="6">
        <f t="shared" si="1"/>
        <v>24</v>
      </c>
      <c r="AD1" s="6">
        <f t="shared" si="1"/>
        <v>25</v>
      </c>
      <c r="AE1" s="6">
        <f t="shared" si="1"/>
        <v>26</v>
      </c>
      <c r="AF1" s="6">
        <f t="shared" si="1"/>
        <v>27</v>
      </c>
      <c r="AG1" s="6">
        <f t="shared" si="1"/>
        <v>28</v>
      </c>
      <c r="AH1" s="6">
        <f t="shared" si="1"/>
        <v>29</v>
      </c>
      <c r="AI1" s="6">
        <f t="shared" si="1"/>
        <v>30</v>
      </c>
      <c r="AJ1" s="6">
        <f t="shared" si="1"/>
        <v>31</v>
      </c>
      <c r="AK1" s="6">
        <f t="shared" si="1"/>
        <v>32</v>
      </c>
      <c r="AL1" s="6">
        <f t="shared" si="1"/>
        <v>33</v>
      </c>
      <c r="AM1" s="6">
        <f t="shared" si="1"/>
        <v>34</v>
      </c>
      <c r="AN1" s="6">
        <f t="shared" si="1"/>
        <v>35</v>
      </c>
      <c r="AO1" s="6">
        <f t="shared" si="1"/>
        <v>36</v>
      </c>
      <c r="AP1" s="6">
        <f t="shared" si="1"/>
        <v>37</v>
      </c>
      <c r="AQ1" s="6">
        <f t="shared" si="1"/>
        <v>38</v>
      </c>
      <c r="AR1" s="6">
        <f t="shared" si="1"/>
        <v>39</v>
      </c>
      <c r="AS1" s="6">
        <f t="shared" si="1"/>
        <v>40</v>
      </c>
      <c r="AT1" s="6">
        <f t="shared" si="1"/>
        <v>41</v>
      </c>
      <c r="AU1" s="6">
        <f t="shared" si="1"/>
        <v>42</v>
      </c>
      <c r="AV1" s="6">
        <f t="shared" si="1"/>
        <v>43</v>
      </c>
      <c r="AW1" s="6">
        <f t="shared" si="1"/>
        <v>44</v>
      </c>
      <c r="AX1" s="6">
        <f t="shared" si="1"/>
        <v>45</v>
      </c>
      <c r="AY1" s="6">
        <f t="shared" si="1"/>
        <v>46</v>
      </c>
      <c r="AZ1" s="6">
        <f t="shared" si="1"/>
        <v>47</v>
      </c>
      <c r="BA1" s="6">
        <f t="shared" si="1"/>
        <v>48</v>
      </c>
      <c r="BB1" s="6">
        <f t="shared" si="1"/>
        <v>49</v>
      </c>
      <c r="BC1" s="6">
        <f t="shared" si="1"/>
        <v>50</v>
      </c>
      <c r="BD1" s="6">
        <f t="shared" si="1"/>
        <v>51</v>
      </c>
      <c r="BE1" s="6">
        <f t="shared" si="1"/>
        <v>52</v>
      </c>
      <c r="BF1" s="6">
        <f t="shared" si="1"/>
        <v>53</v>
      </c>
      <c r="BG1" s="6">
        <f t="shared" si="1"/>
        <v>54</v>
      </c>
      <c r="BH1" s="6">
        <f t="shared" si="1"/>
        <v>55</v>
      </c>
      <c r="BI1" s="6">
        <f t="shared" si="1"/>
        <v>56</v>
      </c>
      <c r="BJ1" s="6">
        <f t="shared" si="1"/>
        <v>57</v>
      </c>
      <c r="BK1" s="6">
        <f t="shared" si="1"/>
        <v>58</v>
      </c>
      <c r="BL1" s="6">
        <f t="shared" si="1"/>
        <v>59</v>
      </c>
      <c r="BM1" s="6">
        <f t="shared" si="1"/>
        <v>60</v>
      </c>
      <c r="BN1" s="6">
        <f t="shared" si="1"/>
        <v>61</v>
      </c>
      <c r="BO1" s="6">
        <f t="shared" si="1"/>
        <v>62</v>
      </c>
      <c r="BP1" s="6">
        <f t="shared" si="1"/>
        <v>63</v>
      </c>
      <c r="BQ1" s="6">
        <f t="shared" si="1"/>
        <v>64</v>
      </c>
    </row>
    <row r="2">
      <c r="A2" s="1" t="str">
        <f>'01-number of variables'!A2</f>
        <v>00-00-identity.csv</v>
      </c>
      <c r="B2" s="1">
        <f>'01-number of variables'!B2</f>
        <v>9</v>
      </c>
      <c r="C2" s="1" t="str">
        <f>'01-number of variables'!C2</f>
        <v>['_study', 'center', 'subjectID', 'uniqueID', 'MRI_ID', 'followupCenter', 'followupID', 'uniqueFollowupID', '_flatten_index']</v>
      </c>
      <c r="D2" s="1">
        <f>'01-number of variables'!D2</f>
        <v>4</v>
      </c>
      <c r="E2" s="1" t="str">
        <f>IFERROR(__xludf.DUMMYFUNCTION("split(C2, ""', '"")"),"[")</f>
        <v>[</v>
      </c>
      <c r="F2" s="6" t="str">
        <f>IFERROR(__xludf.DUMMYFUNCTION("""COMPUTED_VALUE"""),"_study")</f>
        <v>_study</v>
      </c>
      <c r="G2" s="6" t="str">
        <f>IFERROR(__xludf.DUMMYFUNCTION("""COMPUTED_VALUE"""),"center")</f>
        <v>center</v>
      </c>
      <c r="H2" s="6" t="str">
        <f>IFERROR(__xludf.DUMMYFUNCTION("""COMPUTED_VALUE"""),"subjectID")</f>
        <v>subjectID</v>
      </c>
      <c r="I2" s="6" t="str">
        <f>IFERROR(__xludf.DUMMYFUNCTION("""COMPUTED_VALUE"""),"uniqueID")</f>
        <v>uniqueID</v>
      </c>
      <c r="J2" s="6" t="str">
        <f>IFERROR(__xludf.DUMMYFUNCTION("""COMPUTED_VALUE"""),"MRI_ID")</f>
        <v>MRI_ID</v>
      </c>
      <c r="K2" s="6" t="str">
        <f>IFERROR(__xludf.DUMMYFUNCTION("""COMPUTED_VALUE"""),"followupCenter")</f>
        <v>followupCenter</v>
      </c>
      <c r="L2" s="6" t="str">
        <f>IFERROR(__xludf.DUMMYFUNCTION("""COMPUTED_VALUE"""),"followupID")</f>
        <v>followupID</v>
      </c>
      <c r="M2" s="6" t="str">
        <f>IFERROR(__xludf.DUMMYFUNCTION("""COMPUTED_VALUE"""),"uniqueFollowupID")</f>
        <v>uniqueFollowupID</v>
      </c>
      <c r="N2" s="6" t="str">
        <f>IFERROR(__xludf.DUMMYFUNCTION("""COMPUTED_VALUE"""),"_flatten_index")</f>
        <v>_flatten_index</v>
      </c>
      <c r="O2" s="6" t="str">
        <f>IFERROR(__xludf.DUMMYFUNCTION("""COMPUTED_VALUE"""),"]")</f>
        <v>]</v>
      </c>
    </row>
    <row r="3">
      <c r="A3" s="1" t="str">
        <f>'01-number of variables'!A3</f>
        <v>01-02-screening.csv</v>
      </c>
      <c r="B3" s="1">
        <f>'01-number of variables'!B3</f>
        <v>36</v>
      </c>
      <c r="C3" s="1" t="str">
        <f>'01-number of variables'!C3</f>
        <v>['birthNumber', 'screenComment', 'coreTempLess32p5CGreaterEq2Hr_e', 'coreTempLess33p5CGreater1Hr_e', 'coreTempLess34CGreater1Hr_e', 'first6HrCoolByClinicalProtocol_e', 'chromosomalAbnormality_e', 'majorCongenitalAnomaly_e', 'birthWeightLessEq1800g_e', 'infantUnlikelySurvive_e', 'first60MinAllBloodGasPHGreater7p15BaseDeficitLess10mEqPerL_e', 'postnatalAgeLess6HrOrGreater24Hr_e', 'enrolledConflictingTrial_e', 'first60MinAnyBloodGasPHLessEq7_i', 'first60MinAnyBloodGasBaseDeficitGreaterEq16mEqPerL_i', 'historyPerinatalEvent_i', 'at10MinApgarLessEq5OrVent_i', 'randomEligible', 'consentStatus', 'noConsentReason', 'noInStudyReason', 'random', 'noRandomReason', 'noRandomReasonText', 'randomDate', 'randomTime', 'ageRand_hr', 'randomNumber', 'randomTreatmentAssign', 'randomTreatmentReceive', 'treatmentBlanketType', 'treatmentAssignmentDuration_hr', 'treatmentAssignmentTemperature', 'usualCoolingTreatmentGroup', 'inOtherTrial', 'inOtherTrialText']</v>
      </c>
      <c r="D3" s="1" t="str">
        <f>'01-number of variables'!D4</f>
        <v/>
      </c>
      <c r="E3" s="1" t="str">
        <f>IFERROR(__xludf.DUMMYFUNCTION("split(C3, ""', '"")"),"[")</f>
        <v>[</v>
      </c>
      <c r="F3" s="6" t="str">
        <f>IFERROR(__xludf.DUMMYFUNCTION("""COMPUTED_VALUE"""),"birthNumber")</f>
        <v>birthNumber</v>
      </c>
      <c r="G3" s="6" t="str">
        <f>IFERROR(__xludf.DUMMYFUNCTION("""COMPUTED_VALUE"""),"screenComment")</f>
        <v>screenComment</v>
      </c>
      <c r="H3" s="6" t="str">
        <f>IFERROR(__xludf.DUMMYFUNCTION("""COMPUTED_VALUE"""),"coreTempLess32p5CGreaterEq2Hr_e")</f>
        <v>coreTempLess32p5CGreaterEq2Hr_e</v>
      </c>
      <c r="I3" s="6" t="str">
        <f>IFERROR(__xludf.DUMMYFUNCTION("""COMPUTED_VALUE"""),"coreTempLess33p5CGreater1Hr_e")</f>
        <v>coreTempLess33p5CGreater1Hr_e</v>
      </c>
      <c r="J3" s="6" t="str">
        <f>IFERROR(__xludf.DUMMYFUNCTION("""COMPUTED_VALUE"""),"coreTempLess34CGreater1Hr_e")</f>
        <v>coreTempLess34CGreater1Hr_e</v>
      </c>
      <c r="K3" s="6" t="str">
        <f>IFERROR(__xludf.DUMMYFUNCTION("""COMPUTED_VALUE"""),"first6HrCoolByClinicalProtocol_e")</f>
        <v>first6HrCoolByClinicalProtocol_e</v>
      </c>
      <c r="L3" s="6" t="str">
        <f>IFERROR(__xludf.DUMMYFUNCTION("""COMPUTED_VALUE"""),"chromosomalAbnormality_e")</f>
        <v>chromosomalAbnormality_e</v>
      </c>
      <c r="M3" s="6" t="str">
        <f>IFERROR(__xludf.DUMMYFUNCTION("""COMPUTED_VALUE"""),"majorCongenitalAnomaly_e")</f>
        <v>majorCongenitalAnomaly_e</v>
      </c>
      <c r="N3" s="6" t="str">
        <f>IFERROR(__xludf.DUMMYFUNCTION("""COMPUTED_VALUE"""),"birthWeightLessEq1800g_e")</f>
        <v>birthWeightLessEq1800g_e</v>
      </c>
      <c r="O3" s="6" t="str">
        <f>IFERROR(__xludf.DUMMYFUNCTION("""COMPUTED_VALUE"""),"infantUnlikelySurvive_e")</f>
        <v>infantUnlikelySurvive_e</v>
      </c>
      <c r="P3" s="6" t="str">
        <f>IFERROR(__xludf.DUMMYFUNCTION("""COMPUTED_VALUE"""),"first60MinAllBloodGasPHGreater7p15BaseDeficitLess10mEqPerL_e")</f>
        <v>first60MinAllBloodGasPHGreater7p15BaseDeficitLess10mEqPerL_e</v>
      </c>
      <c r="Q3" s="6" t="str">
        <f>IFERROR(__xludf.DUMMYFUNCTION("""COMPUTED_VALUE"""),"postnatalAgeLess6HrOrGreater24Hr_e")</f>
        <v>postnatalAgeLess6HrOrGreater24Hr_e</v>
      </c>
      <c r="R3" s="6" t="str">
        <f>IFERROR(__xludf.DUMMYFUNCTION("""COMPUTED_VALUE"""),"enrolledConflictingTrial_e")</f>
        <v>enrolledConflictingTrial_e</v>
      </c>
      <c r="S3" s="6" t="str">
        <f>IFERROR(__xludf.DUMMYFUNCTION("""COMPUTED_VALUE"""),"first60MinAnyBloodGasPHLessEq7_i")</f>
        <v>first60MinAnyBloodGasPHLessEq7_i</v>
      </c>
      <c r="T3" s="6" t="str">
        <f>IFERROR(__xludf.DUMMYFUNCTION("""COMPUTED_VALUE"""),"first60MinAnyBloodGasBaseDeficitGreaterEq16mEqPerL_i")</f>
        <v>first60MinAnyBloodGasBaseDeficitGreaterEq16mEqPerL_i</v>
      </c>
      <c r="U3" s="6" t="str">
        <f>IFERROR(__xludf.DUMMYFUNCTION("""COMPUTED_VALUE"""),"historyPerinatalEvent_i")</f>
        <v>historyPerinatalEvent_i</v>
      </c>
      <c r="V3" s="6" t="str">
        <f>IFERROR(__xludf.DUMMYFUNCTION("""COMPUTED_VALUE"""),"at10MinApgarLessEq5OrVent_i")</f>
        <v>at10MinApgarLessEq5OrVent_i</v>
      </c>
      <c r="W3" s="6" t="str">
        <f>IFERROR(__xludf.DUMMYFUNCTION("""COMPUTED_VALUE"""),"randomEligible")</f>
        <v>randomEligible</v>
      </c>
      <c r="X3" s="6" t="str">
        <f>IFERROR(__xludf.DUMMYFUNCTION("""COMPUTED_VALUE"""),"consentStatus")</f>
        <v>consentStatus</v>
      </c>
      <c r="Y3" s="6" t="str">
        <f>IFERROR(__xludf.DUMMYFUNCTION("""COMPUTED_VALUE"""),"noConsentReason")</f>
        <v>noConsentReason</v>
      </c>
      <c r="Z3" s="6" t="str">
        <f>IFERROR(__xludf.DUMMYFUNCTION("""COMPUTED_VALUE"""),"noInStudyReason")</f>
        <v>noInStudyReason</v>
      </c>
      <c r="AA3" s="6" t="str">
        <f>IFERROR(__xludf.DUMMYFUNCTION("""COMPUTED_VALUE"""),"random")</f>
        <v>random</v>
      </c>
      <c r="AB3" s="6" t="str">
        <f>IFERROR(__xludf.DUMMYFUNCTION("""COMPUTED_VALUE"""),"noRandomReason")</f>
        <v>noRandomReason</v>
      </c>
      <c r="AC3" s="6" t="str">
        <f>IFERROR(__xludf.DUMMYFUNCTION("""COMPUTED_VALUE"""),"noRandomReasonText")</f>
        <v>noRandomReasonText</v>
      </c>
      <c r="AD3" s="6" t="str">
        <f>IFERROR(__xludf.DUMMYFUNCTION("""COMPUTED_VALUE"""),"randomDate")</f>
        <v>randomDate</v>
      </c>
      <c r="AE3" s="6" t="str">
        <f>IFERROR(__xludf.DUMMYFUNCTION("""COMPUTED_VALUE"""),"randomTime")</f>
        <v>randomTime</v>
      </c>
      <c r="AF3" s="6" t="str">
        <f>IFERROR(__xludf.DUMMYFUNCTION("""COMPUTED_VALUE"""),"ageRand_hr")</f>
        <v>ageRand_hr</v>
      </c>
      <c r="AG3" s="6" t="str">
        <f>IFERROR(__xludf.DUMMYFUNCTION("""COMPUTED_VALUE"""),"randomNumber")</f>
        <v>randomNumber</v>
      </c>
      <c r="AH3" s="6" t="str">
        <f>IFERROR(__xludf.DUMMYFUNCTION("""COMPUTED_VALUE"""),"randomTreatmentAssign")</f>
        <v>randomTreatmentAssign</v>
      </c>
      <c r="AI3" s="6" t="str">
        <f>IFERROR(__xludf.DUMMYFUNCTION("""COMPUTED_VALUE"""),"randomTreatmentReceive")</f>
        <v>randomTreatmentReceive</v>
      </c>
      <c r="AJ3" s="6" t="str">
        <f>IFERROR(__xludf.DUMMYFUNCTION("""COMPUTED_VALUE"""),"treatmentBlanketType")</f>
        <v>treatmentBlanketType</v>
      </c>
      <c r="AK3" s="6" t="str">
        <f>IFERROR(__xludf.DUMMYFUNCTION("""COMPUTED_VALUE"""),"treatmentAssignmentDuration_hr")</f>
        <v>treatmentAssignmentDuration_hr</v>
      </c>
      <c r="AL3" s="6" t="str">
        <f>IFERROR(__xludf.DUMMYFUNCTION("""COMPUTED_VALUE"""),"treatmentAssignmentTemperature")</f>
        <v>treatmentAssignmentTemperature</v>
      </c>
      <c r="AM3" s="6" t="str">
        <f>IFERROR(__xludf.DUMMYFUNCTION("""COMPUTED_VALUE"""),"usualCoolingTreatmentGroup")</f>
        <v>usualCoolingTreatmentGroup</v>
      </c>
      <c r="AN3" s="6" t="str">
        <f>IFERROR(__xludf.DUMMYFUNCTION("""COMPUTED_VALUE"""),"inOtherTrial")</f>
        <v>inOtherTrial</v>
      </c>
      <c r="AO3" s="6" t="str">
        <f>IFERROR(__xludf.DUMMYFUNCTION("""COMPUTED_VALUE"""),"inOtherTrialText")</f>
        <v>inOtherTrialText</v>
      </c>
      <c r="AP3" s="6" t="str">
        <f>IFERROR(__xludf.DUMMYFUNCTION("""COMPUTED_VALUE"""),"]")</f>
        <v>]</v>
      </c>
    </row>
    <row r="4">
      <c r="A4" s="1" t="str">
        <f>'01-number of variables'!A4</f>
        <v>01-03-maternal-demographics.csv</v>
      </c>
      <c r="B4" s="1">
        <f>'01-number of variables'!B4</f>
        <v>6</v>
      </c>
      <c r="C4" s="1" t="str">
        <f>'01-number of variables'!C4</f>
        <v>['motherAge_year', 'motherRace', 'motherEthnicity', 'motherMaritalStatus', 'motherEducation', 'motherInsurance']</v>
      </c>
      <c r="D4" s="1" t="str">
        <f>'01-number of variables'!D5</f>
        <v/>
      </c>
      <c r="E4" s="1" t="str">
        <f>IFERROR(__xludf.DUMMYFUNCTION("split(C4, ""', '"")"),"[")</f>
        <v>[</v>
      </c>
      <c r="F4" s="6" t="str">
        <f>IFERROR(__xludf.DUMMYFUNCTION("""COMPUTED_VALUE"""),"motherAge_year")</f>
        <v>motherAge_year</v>
      </c>
      <c r="G4" s="6" t="str">
        <f>IFERROR(__xludf.DUMMYFUNCTION("""COMPUTED_VALUE"""),"motherRace")</f>
        <v>motherRace</v>
      </c>
      <c r="H4" s="6" t="str">
        <f>IFERROR(__xludf.DUMMYFUNCTION("""COMPUTED_VALUE"""),"motherEthnicity")</f>
        <v>motherEthnicity</v>
      </c>
      <c r="I4" s="6" t="str">
        <f>IFERROR(__xludf.DUMMYFUNCTION("""COMPUTED_VALUE"""),"motherMaritalStatus")</f>
        <v>motherMaritalStatus</v>
      </c>
      <c r="J4" s="6" t="str">
        <f>IFERROR(__xludf.DUMMYFUNCTION("""COMPUTED_VALUE"""),"motherEducation")</f>
        <v>motherEducation</v>
      </c>
      <c r="K4" s="6" t="str">
        <f>IFERROR(__xludf.DUMMYFUNCTION("""COMPUTED_VALUE"""),"motherInsurance")</f>
        <v>motherInsurance</v>
      </c>
      <c r="L4" s="6" t="str">
        <f>IFERROR(__xludf.DUMMYFUNCTION("""COMPUTED_VALUE"""),"]")</f>
        <v>]</v>
      </c>
    </row>
    <row r="5">
      <c r="A5" s="1" t="str">
        <f>'01-number of variables'!A5</f>
        <v>01-04-pregnancy-history.csv</v>
      </c>
      <c r="B5" s="1">
        <f>'01-number of variables'!B5</f>
        <v>9</v>
      </c>
      <c r="C5" s="1" t="str">
        <f>'01-number of variables'!C5</f>
        <v>['gravida', 'parity', 'multipleBirth', 'numFetus', 'prenatalCare', 'hypertensionEclampsia', 'antepartumHemorrhage', 'thyroidMalfunction', 'diabetes']</v>
      </c>
      <c r="D5" s="1" t="str">
        <f>'01-number of variables'!D6</f>
        <v/>
      </c>
      <c r="E5" s="1" t="str">
        <f>IFERROR(__xludf.DUMMYFUNCTION("split(C5, ""', '"")"),"[")</f>
        <v>[</v>
      </c>
      <c r="F5" s="6" t="str">
        <f>IFERROR(__xludf.DUMMYFUNCTION("""COMPUTED_VALUE"""),"gravida")</f>
        <v>gravida</v>
      </c>
      <c r="G5" s="6" t="str">
        <f>IFERROR(__xludf.DUMMYFUNCTION("""COMPUTED_VALUE"""),"parity")</f>
        <v>parity</v>
      </c>
      <c r="H5" s="6" t="str">
        <f>IFERROR(__xludf.DUMMYFUNCTION("""COMPUTED_VALUE"""),"multipleBirth")</f>
        <v>multipleBirth</v>
      </c>
      <c r="I5" s="6" t="str">
        <f>IFERROR(__xludf.DUMMYFUNCTION("""COMPUTED_VALUE"""),"numFetus")</f>
        <v>numFetus</v>
      </c>
      <c r="J5" s="6" t="str">
        <f>IFERROR(__xludf.DUMMYFUNCTION("""COMPUTED_VALUE"""),"prenatalCare")</f>
        <v>prenatalCare</v>
      </c>
      <c r="K5" s="6" t="str">
        <f>IFERROR(__xludf.DUMMYFUNCTION("""COMPUTED_VALUE"""),"hypertensionEclampsia")</f>
        <v>hypertensionEclampsia</v>
      </c>
      <c r="L5" s="6" t="str">
        <f>IFERROR(__xludf.DUMMYFUNCTION("""COMPUTED_VALUE"""),"antepartumHemorrhage")</f>
        <v>antepartumHemorrhage</v>
      </c>
      <c r="M5" s="6" t="str">
        <f>IFERROR(__xludf.DUMMYFUNCTION("""COMPUTED_VALUE"""),"thyroidMalfunction")</f>
        <v>thyroidMalfunction</v>
      </c>
      <c r="N5" s="6" t="str">
        <f>IFERROR(__xludf.DUMMYFUNCTION("""COMPUTED_VALUE"""),"diabetes")</f>
        <v>diabetes</v>
      </c>
      <c r="O5" s="6" t="str">
        <f>IFERROR(__xludf.DUMMYFUNCTION("""COMPUTED_VALUE"""),"]")</f>
        <v>]</v>
      </c>
    </row>
    <row r="6">
      <c r="A6" s="1" t="str">
        <f>'01-number of variables'!A6</f>
        <v>01-05-labor-delivery.csv</v>
      </c>
      <c r="B6" s="1">
        <f>'01-number of variables'!B6</f>
        <v>27</v>
      </c>
      <c r="C6" s="1" t="str">
        <f>'01-number of variables'!C6</f>
        <v>['maternalAdmissionDate', 'maternalAdmissionTime', 'ruptureDate', 'ruptureTime', 'ruptureGreater18Hr', 'ruptureBeforeDelivery', 'labor', 'laborOnsetDate', 'laborOnsetTime', 'deliveryMode', 'fetalDecelerate', 'cordMishap', 'uterineRupture', 'shoulderDystocia', 'placentalProblem', 'maternalHemorrhage', 'maternalTrauma', 'maternalCardioRespiratoryArrest', 'maternalSeizure', 'perinatalSentinelEvent', 'pyrexiaGreater37p6C', 'chorioamnionitis', 'placentalPathologyPerformed', 'histologicChorioamionitis', 'laborAntibiotics', 'laborAntibioticsCode1', 'emergencyCSection']</v>
      </c>
      <c r="D6" s="1" t="str">
        <f>'01-number of variables'!D7</f>
        <v/>
      </c>
      <c r="E6" s="1" t="str">
        <f>IFERROR(__xludf.DUMMYFUNCTION("split(C6, ""', '"")"),"[")</f>
        <v>[</v>
      </c>
      <c r="F6" s="6" t="str">
        <f>IFERROR(__xludf.DUMMYFUNCTION("""COMPUTED_VALUE"""),"maternalAdmissionDate")</f>
        <v>maternalAdmissionDate</v>
      </c>
      <c r="G6" s="6" t="str">
        <f>IFERROR(__xludf.DUMMYFUNCTION("""COMPUTED_VALUE"""),"maternalAdmissionTime")</f>
        <v>maternalAdmissionTime</v>
      </c>
      <c r="H6" s="6" t="str">
        <f>IFERROR(__xludf.DUMMYFUNCTION("""COMPUTED_VALUE"""),"ruptureDate")</f>
        <v>ruptureDate</v>
      </c>
      <c r="I6" s="6" t="str">
        <f>IFERROR(__xludf.DUMMYFUNCTION("""COMPUTED_VALUE"""),"ruptureTime")</f>
        <v>ruptureTime</v>
      </c>
      <c r="J6" s="6" t="str">
        <f>IFERROR(__xludf.DUMMYFUNCTION("""COMPUTED_VALUE"""),"ruptureGreater18Hr")</f>
        <v>ruptureGreater18Hr</v>
      </c>
      <c r="K6" s="6" t="str">
        <f>IFERROR(__xludf.DUMMYFUNCTION("""COMPUTED_VALUE"""),"ruptureBeforeDelivery")</f>
        <v>ruptureBeforeDelivery</v>
      </c>
      <c r="L6" s="6" t="str">
        <f>IFERROR(__xludf.DUMMYFUNCTION("""COMPUTED_VALUE"""),"labor")</f>
        <v>labor</v>
      </c>
      <c r="M6" s="6" t="str">
        <f>IFERROR(__xludf.DUMMYFUNCTION("""COMPUTED_VALUE"""),"laborOnsetDate")</f>
        <v>laborOnsetDate</v>
      </c>
      <c r="N6" s="6" t="str">
        <f>IFERROR(__xludf.DUMMYFUNCTION("""COMPUTED_VALUE"""),"laborOnsetTime")</f>
        <v>laborOnsetTime</v>
      </c>
      <c r="O6" s="6" t="str">
        <f>IFERROR(__xludf.DUMMYFUNCTION("""COMPUTED_VALUE"""),"deliveryMode")</f>
        <v>deliveryMode</v>
      </c>
      <c r="P6" s="6" t="str">
        <f>IFERROR(__xludf.DUMMYFUNCTION("""COMPUTED_VALUE"""),"fetalDecelerate")</f>
        <v>fetalDecelerate</v>
      </c>
      <c r="Q6" s="6" t="str">
        <f>IFERROR(__xludf.DUMMYFUNCTION("""COMPUTED_VALUE"""),"cordMishap")</f>
        <v>cordMishap</v>
      </c>
      <c r="R6" s="6" t="str">
        <f>IFERROR(__xludf.DUMMYFUNCTION("""COMPUTED_VALUE"""),"uterineRupture")</f>
        <v>uterineRupture</v>
      </c>
      <c r="S6" s="6" t="str">
        <f>IFERROR(__xludf.DUMMYFUNCTION("""COMPUTED_VALUE"""),"shoulderDystocia")</f>
        <v>shoulderDystocia</v>
      </c>
      <c r="T6" s="6" t="str">
        <f>IFERROR(__xludf.DUMMYFUNCTION("""COMPUTED_VALUE"""),"placentalProblem")</f>
        <v>placentalProblem</v>
      </c>
      <c r="U6" s="6" t="str">
        <f>IFERROR(__xludf.DUMMYFUNCTION("""COMPUTED_VALUE"""),"maternalHemorrhage")</f>
        <v>maternalHemorrhage</v>
      </c>
      <c r="V6" s="6" t="str">
        <f>IFERROR(__xludf.DUMMYFUNCTION("""COMPUTED_VALUE"""),"maternalTrauma")</f>
        <v>maternalTrauma</v>
      </c>
      <c r="W6" s="6" t="str">
        <f>IFERROR(__xludf.DUMMYFUNCTION("""COMPUTED_VALUE"""),"maternalCardioRespiratoryArrest")</f>
        <v>maternalCardioRespiratoryArrest</v>
      </c>
      <c r="X6" s="6" t="str">
        <f>IFERROR(__xludf.DUMMYFUNCTION("""COMPUTED_VALUE"""),"maternalSeizure")</f>
        <v>maternalSeizure</v>
      </c>
      <c r="Y6" s="6" t="str">
        <f>IFERROR(__xludf.DUMMYFUNCTION("""COMPUTED_VALUE"""),"perinatalSentinelEvent")</f>
        <v>perinatalSentinelEvent</v>
      </c>
      <c r="Z6" s="6" t="str">
        <f>IFERROR(__xludf.DUMMYFUNCTION("""COMPUTED_VALUE"""),"pyrexiaGreater37p6C")</f>
        <v>pyrexiaGreater37p6C</v>
      </c>
      <c r="AA6" s="6" t="str">
        <f>IFERROR(__xludf.DUMMYFUNCTION("""COMPUTED_VALUE"""),"chorioamnionitis")</f>
        <v>chorioamnionitis</v>
      </c>
      <c r="AB6" s="6" t="str">
        <f>IFERROR(__xludf.DUMMYFUNCTION("""COMPUTED_VALUE"""),"placentalPathologyPerformed")</f>
        <v>placentalPathologyPerformed</v>
      </c>
      <c r="AC6" s="6" t="str">
        <f>IFERROR(__xludf.DUMMYFUNCTION("""COMPUTED_VALUE"""),"histologicChorioamionitis")</f>
        <v>histologicChorioamionitis</v>
      </c>
      <c r="AD6" s="6" t="str">
        <f>IFERROR(__xludf.DUMMYFUNCTION("""COMPUTED_VALUE"""),"laborAntibiotics")</f>
        <v>laborAntibiotics</v>
      </c>
      <c r="AE6" s="6" t="str">
        <f>IFERROR(__xludf.DUMMYFUNCTION("""COMPUTED_VALUE"""),"laborAntibioticsCode1")</f>
        <v>laborAntibioticsCode1</v>
      </c>
      <c r="AF6" s="6" t="str">
        <f>IFERROR(__xludf.DUMMYFUNCTION("""COMPUTED_VALUE"""),"emergencyCSection")</f>
        <v>emergencyCSection</v>
      </c>
      <c r="AG6" s="6" t="str">
        <f>IFERROR(__xludf.DUMMYFUNCTION("""COMPUTED_VALUE"""),"]")</f>
        <v>]</v>
      </c>
    </row>
    <row r="7">
      <c r="A7" s="1" t="str">
        <f>'01-number of variables'!A7</f>
        <v>01-05_1-pse.csv</v>
      </c>
      <c r="B7" s="1">
        <f>'01-number of variables'!B7</f>
        <v>0</v>
      </c>
      <c r="C7" s="1" t="str">
        <f>'01-number of variables'!C7</f>
        <v>[]</v>
      </c>
      <c r="D7" s="1" t="str">
        <f>'01-number of variables'!D8</f>
        <v/>
      </c>
      <c r="E7" s="1" t="str">
        <f>IFERROR(__xludf.DUMMYFUNCTION("split(C7, ""', '"")"),"[]")</f>
        <v>[]</v>
      </c>
    </row>
    <row r="8">
      <c r="A8" s="1" t="str">
        <f>'01-number of variables'!A8</f>
        <v>01-05_2-emergency-csection.csv</v>
      </c>
      <c r="B8" s="1">
        <f>'01-number of variables'!B8</f>
        <v>0</v>
      </c>
      <c r="C8" s="1" t="str">
        <f>'01-number of variables'!C8</f>
        <v>[]</v>
      </c>
      <c r="D8" s="1" t="str">
        <f>'01-number of variables'!D9</f>
        <v/>
      </c>
      <c r="E8" s="1" t="str">
        <f>IFERROR(__xludf.DUMMYFUNCTION("split(C8, ""', '"")"),"[]")</f>
        <v>[]</v>
      </c>
    </row>
    <row r="9">
      <c r="A9" s="1" t="str">
        <f>'01-number of variables'!A9</f>
        <v>01-06-birth.csv</v>
      </c>
      <c r="B9" s="1">
        <f>'01-number of variables'!B9</f>
        <v>57</v>
      </c>
      <c r="C9" s="1" t="str">
        <f>'01-number of variables'!C9</f>
        <v>['encephalopathyLevel', 'randomInfantAge', 'birthWeight_g', 'birthLength_cm', 'birthHeadCircumference_cm', 'birthGestationalAge_week', 'infantSex', 'maleSex', 'infantOutborn', 'outbornInHospital', 'outbornOutHospital', 'neonateAdmissionDate', 'neonateAdmissionTime', 'Apgar1min', 'Apgar5min', 'Apgar10min', 'Apgar15min', 'Apgar20min', 'deliveryResuscitation', 'deliveryOxygen', 'deliveryBaggingAndMask', 'deliveryChestCompression', 'deliveryIntubation', 'deliveryDrug', 'at10MinContinueResuscitation', 'at10MinOxygen', 'at10MinBaggingAndMask', 'at10MinChestCompression', 'at10MinIntubation', 'at10MinDrug', 'spontaneousRespirationTime', 'cordBloodGas', 'cordBloodGasSrc', 'cordBloodGasPH', 'cordBloodGasPCO2_mmHg', 'cordBloodGasPO2_mmHg', 'cordBloodGasHCO3_mEqPerL', 'cordBloodGasBaseDeficit_mEqPerL', 'firstPostnatalBloodGas', 'firstPostnatalBloodGasSrc', 'firstPostnatalBloodGasDate', 'firstPostnatalBloodGasTime', 'firstPostnatalBloodGasPH', 'firstPostnatalBloodGasPCO2_mmHg', 'firstPostnatalBloodGasPO2_mmHg', 'firstPostnatalBloodGasHCO3_mEqPerL', 'firstPostnatalBloodGasBaseDeficit_mEqPerL', 'acidosis', 'Apgar10minLess5', 'Apgar10minLessEq5', 'Apgar5minLessEq5', 'initBloodGasBaseDeficit_mEqPerL', 'initBloodGasBaseDeficit_mEqPerLSrc', 'initBloodGasPH', 'initBloodGasPHSrc', 'birthDate', 'birthTime']</v>
      </c>
      <c r="D9" s="1" t="str">
        <f>'01-number of variables'!D10</f>
        <v/>
      </c>
      <c r="E9" s="1" t="str">
        <f>IFERROR(__xludf.DUMMYFUNCTION("split(C9, ""', '"")"),"[")</f>
        <v>[</v>
      </c>
      <c r="F9" s="6" t="str">
        <f>IFERROR(__xludf.DUMMYFUNCTION("""COMPUTED_VALUE"""),"encephalopathyLevel")</f>
        <v>encephalopathyLevel</v>
      </c>
      <c r="G9" s="6" t="str">
        <f>IFERROR(__xludf.DUMMYFUNCTION("""COMPUTED_VALUE"""),"randomInfantAge")</f>
        <v>randomInfantAge</v>
      </c>
      <c r="H9" s="6" t="str">
        <f>IFERROR(__xludf.DUMMYFUNCTION("""COMPUTED_VALUE"""),"birthWeight_g")</f>
        <v>birthWeight_g</v>
      </c>
      <c r="I9" s="6" t="str">
        <f>IFERROR(__xludf.DUMMYFUNCTION("""COMPUTED_VALUE"""),"birthLength_cm")</f>
        <v>birthLength_cm</v>
      </c>
      <c r="J9" s="6" t="str">
        <f>IFERROR(__xludf.DUMMYFUNCTION("""COMPUTED_VALUE"""),"birthHeadCircumference_cm")</f>
        <v>birthHeadCircumference_cm</v>
      </c>
      <c r="K9" s="6" t="str">
        <f>IFERROR(__xludf.DUMMYFUNCTION("""COMPUTED_VALUE"""),"birthGestationalAge_week")</f>
        <v>birthGestationalAge_week</v>
      </c>
      <c r="L9" s="6" t="str">
        <f>IFERROR(__xludf.DUMMYFUNCTION("""COMPUTED_VALUE"""),"infantSex")</f>
        <v>infantSex</v>
      </c>
      <c r="M9" s="6" t="str">
        <f>IFERROR(__xludf.DUMMYFUNCTION("""COMPUTED_VALUE"""),"maleSex")</f>
        <v>maleSex</v>
      </c>
      <c r="N9" s="6" t="str">
        <f>IFERROR(__xludf.DUMMYFUNCTION("""COMPUTED_VALUE"""),"infantOutborn")</f>
        <v>infantOutborn</v>
      </c>
      <c r="O9" s="6" t="str">
        <f>IFERROR(__xludf.DUMMYFUNCTION("""COMPUTED_VALUE"""),"outbornInHospital")</f>
        <v>outbornInHospital</v>
      </c>
      <c r="P9" s="6" t="str">
        <f>IFERROR(__xludf.DUMMYFUNCTION("""COMPUTED_VALUE"""),"outbornOutHospital")</f>
        <v>outbornOutHospital</v>
      </c>
      <c r="Q9" s="6" t="str">
        <f>IFERROR(__xludf.DUMMYFUNCTION("""COMPUTED_VALUE"""),"neonateAdmissionDate")</f>
        <v>neonateAdmissionDate</v>
      </c>
      <c r="R9" s="6" t="str">
        <f>IFERROR(__xludf.DUMMYFUNCTION("""COMPUTED_VALUE"""),"neonateAdmissionTime")</f>
        <v>neonateAdmissionTime</v>
      </c>
      <c r="S9" s="6" t="str">
        <f>IFERROR(__xludf.DUMMYFUNCTION("""COMPUTED_VALUE"""),"Apgar1min")</f>
        <v>Apgar1min</v>
      </c>
      <c r="T9" s="6" t="str">
        <f>IFERROR(__xludf.DUMMYFUNCTION("""COMPUTED_VALUE"""),"Apgar5min")</f>
        <v>Apgar5min</v>
      </c>
      <c r="U9" s="6" t="str">
        <f>IFERROR(__xludf.DUMMYFUNCTION("""COMPUTED_VALUE"""),"Apgar10min")</f>
        <v>Apgar10min</v>
      </c>
      <c r="V9" s="6" t="str">
        <f>IFERROR(__xludf.DUMMYFUNCTION("""COMPUTED_VALUE"""),"Apgar15min")</f>
        <v>Apgar15min</v>
      </c>
      <c r="W9" s="6" t="str">
        <f>IFERROR(__xludf.DUMMYFUNCTION("""COMPUTED_VALUE"""),"Apgar20min")</f>
        <v>Apgar20min</v>
      </c>
      <c r="X9" s="6" t="str">
        <f>IFERROR(__xludf.DUMMYFUNCTION("""COMPUTED_VALUE"""),"deliveryResuscitation")</f>
        <v>deliveryResuscitation</v>
      </c>
      <c r="Y9" s="6" t="str">
        <f>IFERROR(__xludf.DUMMYFUNCTION("""COMPUTED_VALUE"""),"deliveryOxygen")</f>
        <v>deliveryOxygen</v>
      </c>
      <c r="Z9" s="6" t="str">
        <f>IFERROR(__xludf.DUMMYFUNCTION("""COMPUTED_VALUE"""),"deliveryBaggingAndMask")</f>
        <v>deliveryBaggingAndMask</v>
      </c>
      <c r="AA9" s="6" t="str">
        <f>IFERROR(__xludf.DUMMYFUNCTION("""COMPUTED_VALUE"""),"deliveryChestCompression")</f>
        <v>deliveryChestCompression</v>
      </c>
      <c r="AB9" s="6" t="str">
        <f>IFERROR(__xludf.DUMMYFUNCTION("""COMPUTED_VALUE"""),"deliveryIntubation")</f>
        <v>deliveryIntubation</v>
      </c>
      <c r="AC9" s="6" t="str">
        <f>IFERROR(__xludf.DUMMYFUNCTION("""COMPUTED_VALUE"""),"deliveryDrug")</f>
        <v>deliveryDrug</v>
      </c>
      <c r="AD9" s="6" t="str">
        <f>IFERROR(__xludf.DUMMYFUNCTION("""COMPUTED_VALUE"""),"at10MinContinueResuscitation")</f>
        <v>at10MinContinueResuscitation</v>
      </c>
      <c r="AE9" s="6" t="str">
        <f>IFERROR(__xludf.DUMMYFUNCTION("""COMPUTED_VALUE"""),"at10MinOxygen")</f>
        <v>at10MinOxygen</v>
      </c>
      <c r="AF9" s="6" t="str">
        <f>IFERROR(__xludf.DUMMYFUNCTION("""COMPUTED_VALUE"""),"at10MinBaggingAndMask")</f>
        <v>at10MinBaggingAndMask</v>
      </c>
      <c r="AG9" s="6" t="str">
        <f>IFERROR(__xludf.DUMMYFUNCTION("""COMPUTED_VALUE"""),"at10MinChestCompression")</f>
        <v>at10MinChestCompression</v>
      </c>
      <c r="AH9" s="6" t="str">
        <f>IFERROR(__xludf.DUMMYFUNCTION("""COMPUTED_VALUE"""),"at10MinIntubation")</f>
        <v>at10MinIntubation</v>
      </c>
      <c r="AI9" s="6" t="str">
        <f>IFERROR(__xludf.DUMMYFUNCTION("""COMPUTED_VALUE"""),"at10MinDrug")</f>
        <v>at10MinDrug</v>
      </c>
      <c r="AJ9" s="6" t="str">
        <f>IFERROR(__xludf.DUMMYFUNCTION("""COMPUTED_VALUE"""),"spontaneousRespirationTime")</f>
        <v>spontaneousRespirationTime</v>
      </c>
      <c r="AK9" s="6" t="str">
        <f>IFERROR(__xludf.DUMMYFUNCTION("""COMPUTED_VALUE"""),"cordBloodGas")</f>
        <v>cordBloodGas</v>
      </c>
      <c r="AL9" s="6" t="str">
        <f>IFERROR(__xludf.DUMMYFUNCTION("""COMPUTED_VALUE"""),"cordBloodGasSrc")</f>
        <v>cordBloodGasSrc</v>
      </c>
      <c r="AM9" s="6" t="str">
        <f>IFERROR(__xludf.DUMMYFUNCTION("""COMPUTED_VALUE"""),"cordBloodGasPH")</f>
        <v>cordBloodGasPH</v>
      </c>
      <c r="AN9" s="6" t="str">
        <f>IFERROR(__xludf.DUMMYFUNCTION("""COMPUTED_VALUE"""),"cordBloodGasPCO2_mmHg")</f>
        <v>cordBloodGasPCO2_mmHg</v>
      </c>
      <c r="AO9" s="6" t="str">
        <f>IFERROR(__xludf.DUMMYFUNCTION("""COMPUTED_VALUE"""),"cordBloodGasPO2_mmHg")</f>
        <v>cordBloodGasPO2_mmHg</v>
      </c>
      <c r="AP9" s="6" t="str">
        <f>IFERROR(__xludf.DUMMYFUNCTION("""COMPUTED_VALUE"""),"cordBloodGasHCO3_mEqPerL")</f>
        <v>cordBloodGasHCO3_mEqPerL</v>
      </c>
      <c r="AQ9" s="6" t="str">
        <f>IFERROR(__xludf.DUMMYFUNCTION("""COMPUTED_VALUE"""),"cordBloodGasBaseDeficit_mEqPerL")</f>
        <v>cordBloodGasBaseDeficit_mEqPerL</v>
      </c>
      <c r="AR9" s="6" t="str">
        <f>IFERROR(__xludf.DUMMYFUNCTION("""COMPUTED_VALUE"""),"firstPostnatalBloodGas")</f>
        <v>firstPostnatalBloodGas</v>
      </c>
      <c r="AS9" s="6" t="str">
        <f>IFERROR(__xludf.DUMMYFUNCTION("""COMPUTED_VALUE"""),"firstPostnatalBloodGasSrc")</f>
        <v>firstPostnatalBloodGasSrc</v>
      </c>
      <c r="AT9" s="6" t="str">
        <f>IFERROR(__xludf.DUMMYFUNCTION("""COMPUTED_VALUE"""),"firstPostnatalBloodGasDate")</f>
        <v>firstPostnatalBloodGasDate</v>
      </c>
      <c r="AU9" s="6" t="str">
        <f>IFERROR(__xludf.DUMMYFUNCTION("""COMPUTED_VALUE"""),"firstPostnatalBloodGasTime")</f>
        <v>firstPostnatalBloodGasTime</v>
      </c>
      <c r="AV9" s="6" t="str">
        <f>IFERROR(__xludf.DUMMYFUNCTION("""COMPUTED_VALUE"""),"firstPostnatalBloodGasPH")</f>
        <v>firstPostnatalBloodGasPH</v>
      </c>
      <c r="AW9" s="6" t="str">
        <f>IFERROR(__xludf.DUMMYFUNCTION("""COMPUTED_VALUE"""),"firstPostnatalBloodGasPCO2_mmHg")</f>
        <v>firstPostnatalBloodGasPCO2_mmHg</v>
      </c>
      <c r="AX9" s="6" t="str">
        <f>IFERROR(__xludf.DUMMYFUNCTION("""COMPUTED_VALUE"""),"firstPostnatalBloodGasPO2_mmHg")</f>
        <v>firstPostnatalBloodGasPO2_mmHg</v>
      </c>
      <c r="AY9" s="6" t="str">
        <f>IFERROR(__xludf.DUMMYFUNCTION("""COMPUTED_VALUE"""),"firstPostnatalBloodGasHCO3_mEqPerL")</f>
        <v>firstPostnatalBloodGasHCO3_mEqPerL</v>
      </c>
      <c r="AZ9" s="6" t="str">
        <f>IFERROR(__xludf.DUMMYFUNCTION("""COMPUTED_VALUE"""),"firstPostnatalBloodGasBaseDeficit_mEqPerL")</f>
        <v>firstPostnatalBloodGasBaseDeficit_mEqPerL</v>
      </c>
      <c r="BA9" s="6" t="str">
        <f>IFERROR(__xludf.DUMMYFUNCTION("""COMPUTED_VALUE"""),"acidosis")</f>
        <v>acidosis</v>
      </c>
      <c r="BB9" s="6" t="str">
        <f>IFERROR(__xludf.DUMMYFUNCTION("""COMPUTED_VALUE"""),"Apgar10minLess5")</f>
        <v>Apgar10minLess5</v>
      </c>
      <c r="BC9" s="6" t="str">
        <f>IFERROR(__xludf.DUMMYFUNCTION("""COMPUTED_VALUE"""),"Apgar10minLessEq5")</f>
        <v>Apgar10minLessEq5</v>
      </c>
      <c r="BD9" s="6" t="str">
        <f>IFERROR(__xludf.DUMMYFUNCTION("""COMPUTED_VALUE"""),"Apgar5minLessEq5")</f>
        <v>Apgar5minLessEq5</v>
      </c>
      <c r="BE9" s="6" t="str">
        <f>IFERROR(__xludf.DUMMYFUNCTION("""COMPUTED_VALUE"""),"initBloodGasBaseDeficit_mEqPerL")</f>
        <v>initBloodGasBaseDeficit_mEqPerL</v>
      </c>
      <c r="BF9" s="6" t="str">
        <f>IFERROR(__xludf.DUMMYFUNCTION("""COMPUTED_VALUE"""),"initBloodGasBaseDeficit_mEqPerLSrc")</f>
        <v>initBloodGasBaseDeficit_mEqPerLSrc</v>
      </c>
      <c r="BG9" s="6" t="str">
        <f>IFERROR(__xludf.DUMMYFUNCTION("""COMPUTED_VALUE"""),"initBloodGasPH")</f>
        <v>initBloodGasPH</v>
      </c>
      <c r="BH9" s="6" t="str">
        <f>IFERROR(__xludf.DUMMYFUNCTION("""COMPUTED_VALUE"""),"initBloodGasPHSrc")</f>
        <v>initBloodGasPHSrc</v>
      </c>
      <c r="BI9" s="6" t="str">
        <f>IFERROR(__xludf.DUMMYFUNCTION("""COMPUTED_VALUE"""),"birthDate")</f>
        <v>birthDate</v>
      </c>
      <c r="BJ9" s="6" t="str">
        <f>IFERROR(__xludf.DUMMYFUNCTION("""COMPUTED_VALUE"""),"birthTime")</f>
        <v>birthTime</v>
      </c>
      <c r="BK9" s="6" t="str">
        <f>IFERROR(__xludf.DUMMYFUNCTION("""COMPUTED_VALUE"""),"]")</f>
        <v>]</v>
      </c>
    </row>
    <row r="10">
      <c r="A10" s="1" t="str">
        <f>'01-number of variables'!A10</f>
        <v>01-06_1-apgar.csv</v>
      </c>
      <c r="B10" s="1">
        <f>'01-number of variables'!B10</f>
        <v>0</v>
      </c>
      <c r="C10" s="1" t="str">
        <f>'01-number of variables'!C10</f>
        <v>[]</v>
      </c>
      <c r="D10" s="1" t="str">
        <f>'01-number of variables'!D11</f>
        <v/>
      </c>
      <c r="E10" s="1" t="str">
        <f>IFERROR(__xludf.DUMMYFUNCTION("split(C10, ""', '"")"),"[]")</f>
        <v>[]</v>
      </c>
    </row>
    <row r="11">
      <c r="A11" s="1" t="str">
        <f>'01-number of variables'!A11</f>
        <v>01-07-pre-temperature.csv</v>
      </c>
      <c r="B11" s="1">
        <f>'01-number of variables'!B11</f>
        <v>22</v>
      </c>
      <c r="C11" s="1" t="str">
        <f>'01-number of variables'!C11</f>
        <v>['targetTreatmentTemperature_C', 'pre_CoolInitiate', 'pre_CoolbyIceGelPack', 'pre_CoolPassively', 'pre_CoolClinically', 'pre_CoolInitiateDate', 'pre_CoolInitiateTime', 'pre_AfterOvershootReach33p5C', 'pre_AfterOvershootReach33p5CDate', 'pre_AfterOvershootReach33p5CTime', 'pre_TemperatureMinDate', 'pre_TemperatureMinTime', 'pre_SkinTemperatureMin_C', 'pre_AxillaryTemperatureMin_C', 'pre_EsophagealTemperatureMin_C', 'pre_ServoSetMin_C', 'pre_TemperatureMaxDate', 'pre_TemperatureMaxTime', 'pre_SkinTemperatureMax_C', 'pre_AxillaryTemperatureMax_C', 'pre_EsophagealTemperatureMax_C', 'pre_ServoSetMax_C']</v>
      </c>
      <c r="D11" s="1" t="str">
        <f>'01-number of variables'!D12</f>
        <v/>
      </c>
      <c r="E11" s="1" t="str">
        <f>IFERROR(__xludf.DUMMYFUNCTION("split(C11, ""', '"")"),"[")</f>
        <v>[</v>
      </c>
      <c r="F11" s="6" t="str">
        <f>IFERROR(__xludf.DUMMYFUNCTION("""COMPUTED_VALUE"""),"targetTreatmentTemperature_C")</f>
        <v>targetTreatmentTemperature_C</v>
      </c>
      <c r="G11" s="6" t="str">
        <f>IFERROR(__xludf.DUMMYFUNCTION("""COMPUTED_VALUE"""),"pre_CoolInitiate")</f>
        <v>pre_CoolInitiate</v>
      </c>
      <c r="H11" s="6" t="str">
        <f>IFERROR(__xludf.DUMMYFUNCTION("""COMPUTED_VALUE"""),"pre_CoolbyIceGelPack")</f>
        <v>pre_CoolbyIceGelPack</v>
      </c>
      <c r="I11" s="6" t="str">
        <f>IFERROR(__xludf.DUMMYFUNCTION("""COMPUTED_VALUE"""),"pre_CoolPassively")</f>
        <v>pre_CoolPassively</v>
      </c>
      <c r="J11" s="6" t="str">
        <f>IFERROR(__xludf.DUMMYFUNCTION("""COMPUTED_VALUE"""),"pre_CoolClinically")</f>
        <v>pre_CoolClinically</v>
      </c>
      <c r="K11" s="6" t="str">
        <f>IFERROR(__xludf.DUMMYFUNCTION("""COMPUTED_VALUE"""),"pre_CoolInitiateDate")</f>
        <v>pre_CoolInitiateDate</v>
      </c>
      <c r="L11" s="6" t="str">
        <f>IFERROR(__xludf.DUMMYFUNCTION("""COMPUTED_VALUE"""),"pre_CoolInitiateTime")</f>
        <v>pre_CoolInitiateTime</v>
      </c>
      <c r="M11" s="6" t="str">
        <f>IFERROR(__xludf.DUMMYFUNCTION("""COMPUTED_VALUE"""),"pre_AfterOvershootReach33p5C")</f>
        <v>pre_AfterOvershootReach33p5C</v>
      </c>
      <c r="N11" s="6" t="str">
        <f>IFERROR(__xludf.DUMMYFUNCTION("""COMPUTED_VALUE"""),"pre_AfterOvershootReach33p5CDate")</f>
        <v>pre_AfterOvershootReach33p5CDate</v>
      </c>
      <c r="O11" s="6" t="str">
        <f>IFERROR(__xludf.DUMMYFUNCTION("""COMPUTED_VALUE"""),"pre_AfterOvershootReach33p5CTime")</f>
        <v>pre_AfterOvershootReach33p5CTime</v>
      </c>
      <c r="P11" s="6" t="str">
        <f>IFERROR(__xludf.DUMMYFUNCTION("""COMPUTED_VALUE"""),"pre_TemperatureMinDate")</f>
        <v>pre_TemperatureMinDate</v>
      </c>
      <c r="Q11" s="6" t="str">
        <f>IFERROR(__xludf.DUMMYFUNCTION("""COMPUTED_VALUE"""),"pre_TemperatureMinTime")</f>
        <v>pre_TemperatureMinTime</v>
      </c>
      <c r="R11" s="6" t="str">
        <f>IFERROR(__xludf.DUMMYFUNCTION("""COMPUTED_VALUE"""),"pre_SkinTemperatureMin_C")</f>
        <v>pre_SkinTemperatureMin_C</v>
      </c>
      <c r="S11" s="6" t="str">
        <f>IFERROR(__xludf.DUMMYFUNCTION("""COMPUTED_VALUE"""),"pre_AxillaryTemperatureMin_C")</f>
        <v>pre_AxillaryTemperatureMin_C</v>
      </c>
      <c r="T11" s="6" t="str">
        <f>IFERROR(__xludf.DUMMYFUNCTION("""COMPUTED_VALUE"""),"pre_EsophagealTemperatureMin_C")</f>
        <v>pre_EsophagealTemperatureMin_C</v>
      </c>
      <c r="U11" s="6" t="str">
        <f>IFERROR(__xludf.DUMMYFUNCTION("""COMPUTED_VALUE"""),"pre_ServoSetMin_C")</f>
        <v>pre_ServoSetMin_C</v>
      </c>
      <c r="V11" s="6" t="str">
        <f>IFERROR(__xludf.DUMMYFUNCTION("""COMPUTED_VALUE"""),"pre_TemperatureMaxDate")</f>
        <v>pre_TemperatureMaxDate</v>
      </c>
      <c r="W11" s="6" t="str">
        <f>IFERROR(__xludf.DUMMYFUNCTION("""COMPUTED_VALUE"""),"pre_TemperatureMaxTime")</f>
        <v>pre_TemperatureMaxTime</v>
      </c>
      <c r="X11" s="6" t="str">
        <f>IFERROR(__xludf.DUMMYFUNCTION("""COMPUTED_VALUE"""),"pre_SkinTemperatureMax_C")</f>
        <v>pre_SkinTemperatureMax_C</v>
      </c>
      <c r="Y11" s="6" t="str">
        <f>IFERROR(__xludf.DUMMYFUNCTION("""COMPUTED_VALUE"""),"pre_AxillaryTemperatureMax_C")</f>
        <v>pre_AxillaryTemperatureMax_C</v>
      </c>
      <c r="Z11" s="6" t="str">
        <f>IFERROR(__xludf.DUMMYFUNCTION("""COMPUTED_VALUE"""),"pre_EsophagealTemperatureMax_C")</f>
        <v>pre_EsophagealTemperatureMax_C</v>
      </c>
      <c r="AA11" s="6" t="str">
        <f>IFERROR(__xludf.DUMMYFUNCTION("""COMPUTED_VALUE"""),"pre_ServoSetMax_C")</f>
        <v>pre_ServoSetMax_C</v>
      </c>
      <c r="AB11" s="6" t="str">
        <f>IFERROR(__xludf.DUMMYFUNCTION("""COMPUTED_VALUE"""),"]")</f>
        <v>]</v>
      </c>
    </row>
    <row r="12">
      <c r="A12" s="1" t="str">
        <f>'01-number of variables'!A12</f>
        <v>01-08-pre-cardiovascular.csv</v>
      </c>
      <c r="B12" s="1">
        <f>'01-number of variables'!B12</f>
        <v>9</v>
      </c>
      <c r="C12" s="1" t="str">
        <f>'01-number of variables'!C12</f>
        <v>['pre_CardioDate', 'pre_CardioTime', 'pre_CardioSystolicBloodPressure_mmHg', 'pre_CardioDiastolicBloodPressure_mmHg', 'pre_CardioHeartRate_BPM', 'pre_CardioVolumeExpand', 'pre_CardioInotropicAgent', 'pre_CardioBloodTransfusion', 'pre_CardioPlatelets']</v>
      </c>
      <c r="D12" s="1" t="str">
        <f>'01-number of variables'!D13</f>
        <v/>
      </c>
      <c r="E12" s="1" t="str">
        <f>IFERROR(__xludf.DUMMYFUNCTION("split(C12, ""', '"")"),"[")</f>
        <v>[</v>
      </c>
      <c r="F12" s="6" t="str">
        <f>IFERROR(__xludf.DUMMYFUNCTION("""COMPUTED_VALUE"""),"pre_CardioDate")</f>
        <v>pre_CardioDate</v>
      </c>
      <c r="G12" s="6" t="str">
        <f>IFERROR(__xludf.DUMMYFUNCTION("""COMPUTED_VALUE"""),"pre_CardioTime")</f>
        <v>pre_CardioTime</v>
      </c>
      <c r="H12" s="6" t="str">
        <f>IFERROR(__xludf.DUMMYFUNCTION("""COMPUTED_VALUE"""),"pre_CardioSystolicBloodPressure_mmHg")</f>
        <v>pre_CardioSystolicBloodPressure_mmHg</v>
      </c>
      <c r="I12" s="6" t="str">
        <f>IFERROR(__xludf.DUMMYFUNCTION("""COMPUTED_VALUE"""),"pre_CardioDiastolicBloodPressure_mmHg")</f>
        <v>pre_CardioDiastolicBloodPressure_mmHg</v>
      </c>
      <c r="J12" s="6" t="str">
        <f>IFERROR(__xludf.DUMMYFUNCTION("""COMPUTED_VALUE"""),"pre_CardioHeartRate_BPM")</f>
        <v>pre_CardioHeartRate_BPM</v>
      </c>
      <c r="K12" s="6" t="str">
        <f>IFERROR(__xludf.DUMMYFUNCTION("""COMPUTED_VALUE"""),"pre_CardioVolumeExpand")</f>
        <v>pre_CardioVolumeExpand</v>
      </c>
      <c r="L12" s="6" t="str">
        <f>IFERROR(__xludf.DUMMYFUNCTION("""COMPUTED_VALUE"""),"pre_CardioInotropicAgent")</f>
        <v>pre_CardioInotropicAgent</v>
      </c>
      <c r="M12" s="6" t="str">
        <f>IFERROR(__xludf.DUMMYFUNCTION("""COMPUTED_VALUE"""),"pre_CardioBloodTransfusion")</f>
        <v>pre_CardioBloodTransfusion</v>
      </c>
      <c r="N12" s="6" t="str">
        <f>IFERROR(__xludf.DUMMYFUNCTION("""COMPUTED_VALUE"""),"pre_CardioPlatelets")</f>
        <v>pre_CardioPlatelets</v>
      </c>
      <c r="O12" s="6" t="str">
        <f>IFERROR(__xludf.DUMMYFUNCTION("""COMPUTED_VALUE"""),"]")</f>
        <v>]</v>
      </c>
    </row>
    <row r="13">
      <c r="A13" s="1" t="str">
        <f>'01-number of variables'!A13</f>
        <v>01-09-pre-infection.csv</v>
      </c>
      <c r="B13" s="1">
        <f>'01-number of variables'!B13</f>
        <v>7</v>
      </c>
      <c r="C13" s="1" t="str">
        <f>'01-number of variables'!C13</f>
        <v>['pre_PositiveCulture', 'pre_PositiveCultureSrc', 'pre_PositiveCultureDate', 'pre_PositiveCultureTime', 'pre_PositiveCultureOrganismCode1', 'pre_Antibiotics', 'pre_AntibioticsCode1']</v>
      </c>
      <c r="D13" s="1" t="str">
        <f>'01-number of variables'!D14</f>
        <v/>
      </c>
      <c r="E13" s="1" t="str">
        <f>IFERROR(__xludf.DUMMYFUNCTION("split(C13, ""', '"")"),"[")</f>
        <v>[</v>
      </c>
      <c r="F13" s="6" t="str">
        <f>IFERROR(__xludf.DUMMYFUNCTION("""COMPUTED_VALUE"""),"pre_PositiveCulture")</f>
        <v>pre_PositiveCulture</v>
      </c>
      <c r="G13" s="6" t="str">
        <f>IFERROR(__xludf.DUMMYFUNCTION("""COMPUTED_VALUE"""),"pre_PositiveCultureSrc")</f>
        <v>pre_PositiveCultureSrc</v>
      </c>
      <c r="H13" s="6" t="str">
        <f>IFERROR(__xludf.DUMMYFUNCTION("""COMPUTED_VALUE"""),"pre_PositiveCultureDate")</f>
        <v>pre_PositiveCultureDate</v>
      </c>
      <c r="I13" s="6" t="str">
        <f>IFERROR(__xludf.DUMMYFUNCTION("""COMPUTED_VALUE"""),"pre_PositiveCultureTime")</f>
        <v>pre_PositiveCultureTime</v>
      </c>
      <c r="J13" s="6" t="str">
        <f>IFERROR(__xludf.DUMMYFUNCTION("""COMPUTED_VALUE"""),"pre_PositiveCultureOrganismCode1")</f>
        <v>pre_PositiveCultureOrganismCode1</v>
      </c>
      <c r="K13" s="6" t="str">
        <f>IFERROR(__xludf.DUMMYFUNCTION("""COMPUTED_VALUE"""),"pre_Antibiotics")</f>
        <v>pre_Antibiotics</v>
      </c>
      <c r="L13" s="6" t="str">
        <f>IFERROR(__xludf.DUMMYFUNCTION("""COMPUTED_VALUE"""),"pre_AntibioticsCode1")</f>
        <v>pre_AntibioticsCode1</v>
      </c>
      <c r="M13" s="6" t="str">
        <f>IFERROR(__xludf.DUMMYFUNCTION("""COMPUTED_VALUE"""),"]")</f>
        <v>]</v>
      </c>
    </row>
    <row r="14">
      <c r="A14" s="1" t="str">
        <f>'01-number of variables'!A14</f>
        <v>01-10-pre-other-med.csv</v>
      </c>
      <c r="B14" s="1">
        <f>'01-number of variables'!B14</f>
        <v>8</v>
      </c>
      <c r="C14" s="1" t="str">
        <f>'01-number of variables'!C14</f>
        <v>['pre_OtherMedTargetDate', 'pre_OtherMedTargetTime', 'pre_Anticonvulsants1', 'pre_AnalgesicsSedatives1', 'pre_Antipyretics1', 'pre_Paralytics1', 'pre_OtherMedFluidIntake_ccPerKg', 'pre_OtherMedUrineOutput_ccPerKg']</v>
      </c>
      <c r="D14" s="1" t="str">
        <f>'01-number of variables'!D15</f>
        <v/>
      </c>
      <c r="E14" s="1" t="str">
        <f>IFERROR(__xludf.DUMMYFUNCTION("split(C14, ""', '"")"),"[")</f>
        <v>[</v>
      </c>
      <c r="F14" s="6" t="str">
        <f>IFERROR(__xludf.DUMMYFUNCTION("""COMPUTED_VALUE"""),"pre_OtherMedTargetDate")</f>
        <v>pre_OtherMedTargetDate</v>
      </c>
      <c r="G14" s="6" t="str">
        <f>IFERROR(__xludf.DUMMYFUNCTION("""COMPUTED_VALUE"""),"pre_OtherMedTargetTime")</f>
        <v>pre_OtherMedTargetTime</v>
      </c>
      <c r="H14" s="6" t="str">
        <f>IFERROR(__xludf.DUMMYFUNCTION("""COMPUTED_VALUE"""),"pre_Anticonvulsants1")</f>
        <v>pre_Anticonvulsants1</v>
      </c>
      <c r="I14" s="6" t="str">
        <f>IFERROR(__xludf.DUMMYFUNCTION("""COMPUTED_VALUE"""),"pre_AnalgesicsSedatives1")</f>
        <v>pre_AnalgesicsSedatives1</v>
      </c>
      <c r="J14" s="6" t="str">
        <f>IFERROR(__xludf.DUMMYFUNCTION("""COMPUTED_VALUE"""),"pre_Antipyretics1")</f>
        <v>pre_Antipyretics1</v>
      </c>
      <c r="K14" s="6" t="str">
        <f>IFERROR(__xludf.DUMMYFUNCTION("""COMPUTED_VALUE"""),"pre_Paralytics1")</f>
        <v>pre_Paralytics1</v>
      </c>
      <c r="L14" s="6" t="str">
        <f>IFERROR(__xludf.DUMMYFUNCTION("""COMPUTED_VALUE"""),"pre_OtherMedFluidIntake_ccPerKg")</f>
        <v>pre_OtherMedFluidIntake_ccPerKg</v>
      </c>
      <c r="M14" s="6" t="str">
        <f>IFERROR(__xludf.DUMMYFUNCTION("""COMPUTED_VALUE"""),"pre_OtherMedUrineOutput_ccPerKg")</f>
        <v>pre_OtherMedUrineOutput_ccPerKg</v>
      </c>
      <c r="N14" s="6" t="str">
        <f>IFERROR(__xludf.DUMMYFUNCTION("""COMPUTED_VALUE"""),"]")</f>
        <v>]</v>
      </c>
    </row>
    <row r="15">
      <c r="A15" s="1" t="str">
        <f>'01-number of variables'!A15</f>
        <v>01-11-pre-imaging.csv</v>
      </c>
      <c r="B15" s="1">
        <f>'01-number of variables'!B15</f>
        <v>15</v>
      </c>
      <c r="C15" s="1" t="str">
        <f>'01-number of variables'!C15</f>
        <v>['pre_HeadSonogram', 'pre_HeadSonogramDate', 'pre_HeadSonogramTime', 'pre_HeadSonogramResult1', 'pre_HeadSonogramResultText', 'pre_HeadCT', 'pre_HeadCTDate', 'pre_HeadCTTime', 'pre_HeadCTResult1', 'pre_HeadCTResultText', 'pre_BrainMRI', 'pre_BrainMRIDate', 'pre_BrainMRITime', 'pre_BrainMRIResult1', 'pre_BrainMRIResultText']</v>
      </c>
      <c r="D15" s="1" t="str">
        <f>'01-number of variables'!D16</f>
        <v/>
      </c>
      <c r="E15" s="1" t="str">
        <f>IFERROR(__xludf.DUMMYFUNCTION("split(C15, ""', '"")"),"[")</f>
        <v>[</v>
      </c>
      <c r="F15" s="6" t="str">
        <f>IFERROR(__xludf.DUMMYFUNCTION("""COMPUTED_VALUE"""),"pre_HeadSonogram")</f>
        <v>pre_HeadSonogram</v>
      </c>
      <c r="G15" s="6" t="str">
        <f>IFERROR(__xludf.DUMMYFUNCTION("""COMPUTED_VALUE"""),"pre_HeadSonogramDate")</f>
        <v>pre_HeadSonogramDate</v>
      </c>
      <c r="H15" s="6" t="str">
        <f>IFERROR(__xludf.DUMMYFUNCTION("""COMPUTED_VALUE"""),"pre_HeadSonogramTime")</f>
        <v>pre_HeadSonogramTime</v>
      </c>
      <c r="I15" s="6" t="str">
        <f>IFERROR(__xludf.DUMMYFUNCTION("""COMPUTED_VALUE"""),"pre_HeadSonogramResult1")</f>
        <v>pre_HeadSonogramResult1</v>
      </c>
      <c r="J15" s="6" t="str">
        <f>IFERROR(__xludf.DUMMYFUNCTION("""COMPUTED_VALUE"""),"pre_HeadSonogramResultText")</f>
        <v>pre_HeadSonogramResultText</v>
      </c>
      <c r="K15" s="6" t="str">
        <f>IFERROR(__xludf.DUMMYFUNCTION("""COMPUTED_VALUE"""),"pre_HeadCT")</f>
        <v>pre_HeadCT</v>
      </c>
      <c r="L15" s="6" t="str">
        <f>IFERROR(__xludf.DUMMYFUNCTION("""COMPUTED_VALUE"""),"pre_HeadCTDate")</f>
        <v>pre_HeadCTDate</v>
      </c>
      <c r="M15" s="6" t="str">
        <f>IFERROR(__xludf.DUMMYFUNCTION("""COMPUTED_VALUE"""),"pre_HeadCTTime")</f>
        <v>pre_HeadCTTime</v>
      </c>
      <c r="N15" s="6" t="str">
        <f>IFERROR(__xludf.DUMMYFUNCTION("""COMPUTED_VALUE"""),"pre_HeadCTResult1")</f>
        <v>pre_HeadCTResult1</v>
      </c>
      <c r="O15" s="6" t="str">
        <f>IFERROR(__xludf.DUMMYFUNCTION("""COMPUTED_VALUE"""),"pre_HeadCTResultText")</f>
        <v>pre_HeadCTResultText</v>
      </c>
      <c r="P15" s="6" t="str">
        <f>IFERROR(__xludf.DUMMYFUNCTION("""COMPUTED_VALUE"""),"pre_BrainMRI")</f>
        <v>pre_BrainMRI</v>
      </c>
      <c r="Q15" s="6" t="str">
        <f>IFERROR(__xludf.DUMMYFUNCTION("""COMPUTED_VALUE"""),"pre_BrainMRIDate")</f>
        <v>pre_BrainMRIDate</v>
      </c>
      <c r="R15" s="6" t="str">
        <f>IFERROR(__xludf.DUMMYFUNCTION("""COMPUTED_VALUE"""),"pre_BrainMRITime")</f>
        <v>pre_BrainMRITime</v>
      </c>
      <c r="S15" s="6" t="str">
        <f>IFERROR(__xludf.DUMMYFUNCTION("""COMPUTED_VALUE"""),"pre_BrainMRIResult1")</f>
        <v>pre_BrainMRIResult1</v>
      </c>
      <c r="T15" s="6" t="str">
        <f>IFERROR(__xludf.DUMMYFUNCTION("""COMPUTED_VALUE"""),"pre_BrainMRIResultText")</f>
        <v>pre_BrainMRIResultText</v>
      </c>
      <c r="U15" s="6" t="str">
        <f>IFERROR(__xludf.DUMMYFUNCTION("""COMPUTED_VALUE"""),"]")</f>
        <v>]</v>
      </c>
    </row>
    <row r="16">
      <c r="A16" s="1" t="str">
        <f>'01-number of variables'!A16</f>
        <v>01-12-neuro-exam.csv</v>
      </c>
      <c r="B16" s="1">
        <f>'01-number of variables'!B16</f>
        <v>16</v>
      </c>
      <c r="C16" s="1" t="str">
        <f>'01-number of variables'!C16</f>
        <v>['pre_NeuroExam', 'pre_NoNeuroExamReason', 'pre_NeuroExamSignModerateSevereHIE3Category', 'pre_NeuroExamLevelConsciousness', 'pre_NeuroExamSpontaneousActivity', 'pre_NeuroExamPosture', 'pre_NeuroExamTone', 'pre_NeuroExamSuck', 'pre_NeuroExamMoro', 'pre_NeuroExamPupils', 'pre_NeuroExamHeartRate', 'pre_NeuroExamRespiration', 'pre_NeuroExamDate', 'pre_NeuroExamTime', 'pre_NeuroExamSedate', 'pre_NeuroExamSeizure']</v>
      </c>
      <c r="D16" s="1" t="str">
        <f>'01-number of variables'!D17</f>
        <v/>
      </c>
      <c r="E16" s="1" t="str">
        <f>IFERROR(__xludf.DUMMYFUNCTION("split(C16, ""', '"")"),"[")</f>
        <v>[</v>
      </c>
      <c r="F16" s="6" t="str">
        <f>IFERROR(__xludf.DUMMYFUNCTION("""COMPUTED_VALUE"""),"pre_NeuroExam")</f>
        <v>pre_NeuroExam</v>
      </c>
      <c r="G16" s="6" t="str">
        <f>IFERROR(__xludf.DUMMYFUNCTION("""COMPUTED_VALUE"""),"pre_NoNeuroExamReason")</f>
        <v>pre_NoNeuroExamReason</v>
      </c>
      <c r="H16" s="6" t="str">
        <f>IFERROR(__xludf.DUMMYFUNCTION("""COMPUTED_VALUE"""),"pre_NeuroExamSignModerateSevereHIE3Category")</f>
        <v>pre_NeuroExamSignModerateSevereHIE3Category</v>
      </c>
      <c r="I16" s="6" t="str">
        <f>IFERROR(__xludf.DUMMYFUNCTION("""COMPUTED_VALUE"""),"pre_NeuroExamLevelConsciousness")</f>
        <v>pre_NeuroExamLevelConsciousness</v>
      </c>
      <c r="J16" s="6" t="str">
        <f>IFERROR(__xludf.DUMMYFUNCTION("""COMPUTED_VALUE"""),"pre_NeuroExamSpontaneousActivity")</f>
        <v>pre_NeuroExamSpontaneousActivity</v>
      </c>
      <c r="K16" s="6" t="str">
        <f>IFERROR(__xludf.DUMMYFUNCTION("""COMPUTED_VALUE"""),"pre_NeuroExamPosture")</f>
        <v>pre_NeuroExamPosture</v>
      </c>
      <c r="L16" s="6" t="str">
        <f>IFERROR(__xludf.DUMMYFUNCTION("""COMPUTED_VALUE"""),"pre_NeuroExamTone")</f>
        <v>pre_NeuroExamTone</v>
      </c>
      <c r="M16" s="6" t="str">
        <f>IFERROR(__xludf.DUMMYFUNCTION("""COMPUTED_VALUE"""),"pre_NeuroExamSuck")</f>
        <v>pre_NeuroExamSuck</v>
      </c>
      <c r="N16" s="6" t="str">
        <f>IFERROR(__xludf.DUMMYFUNCTION("""COMPUTED_VALUE"""),"pre_NeuroExamMoro")</f>
        <v>pre_NeuroExamMoro</v>
      </c>
      <c r="O16" s="6" t="str">
        <f>IFERROR(__xludf.DUMMYFUNCTION("""COMPUTED_VALUE"""),"pre_NeuroExamPupils")</f>
        <v>pre_NeuroExamPupils</v>
      </c>
      <c r="P16" s="6" t="str">
        <f>IFERROR(__xludf.DUMMYFUNCTION("""COMPUTED_VALUE"""),"pre_NeuroExamHeartRate")</f>
        <v>pre_NeuroExamHeartRate</v>
      </c>
      <c r="Q16" s="6" t="str">
        <f>IFERROR(__xludf.DUMMYFUNCTION("""COMPUTED_VALUE"""),"pre_NeuroExamRespiration")</f>
        <v>pre_NeuroExamRespiration</v>
      </c>
      <c r="R16" s="6" t="str">
        <f>IFERROR(__xludf.DUMMYFUNCTION("""COMPUTED_VALUE"""),"pre_NeuroExamDate")</f>
        <v>pre_NeuroExamDate</v>
      </c>
      <c r="S16" s="6" t="str">
        <f>IFERROR(__xludf.DUMMYFUNCTION("""COMPUTED_VALUE"""),"pre_NeuroExamTime")</f>
        <v>pre_NeuroExamTime</v>
      </c>
      <c r="T16" s="6" t="str">
        <f>IFERROR(__xludf.DUMMYFUNCTION("""COMPUTED_VALUE"""),"pre_NeuroExamSedate")</f>
        <v>pre_NeuroExamSedate</v>
      </c>
      <c r="U16" s="6" t="str">
        <f>IFERROR(__xludf.DUMMYFUNCTION("""COMPUTED_VALUE"""),"pre_NeuroExamSeizure")</f>
        <v>pre_NeuroExamSeizure</v>
      </c>
      <c r="V16" s="6" t="str">
        <f>IFERROR(__xludf.DUMMYFUNCTION("""COMPUTED_VALUE"""),"]")</f>
        <v>]</v>
      </c>
    </row>
    <row r="17">
      <c r="A17" s="1" t="str">
        <f>'01-number of variables'!A17</f>
        <v>01-12_1-total-modified-sarnat.csv</v>
      </c>
      <c r="B17" s="1">
        <f>'01-number of variables'!B17</f>
        <v>3</v>
      </c>
      <c r="C17" s="1" t="str">
        <f>'01-number of variables'!C17</f>
        <v>['pre_NeuroExamReflexScore', 'pre_NeuroExamANSScore', 'pre_TotalModifiedSarnatScore']</v>
      </c>
      <c r="D17" s="1" t="str">
        <f>'01-number of variables'!D18</f>
        <v/>
      </c>
      <c r="E17" s="1" t="str">
        <f>IFERROR(__xludf.DUMMYFUNCTION("split(C17, ""', '"")"),"[")</f>
        <v>[</v>
      </c>
      <c r="F17" s="6" t="str">
        <f>IFERROR(__xludf.DUMMYFUNCTION("""COMPUTED_VALUE"""),"pre_NeuroExamReflexScore")</f>
        <v>pre_NeuroExamReflexScore</v>
      </c>
      <c r="G17" s="6" t="str">
        <f>IFERROR(__xludf.DUMMYFUNCTION("""COMPUTED_VALUE"""),"pre_NeuroExamANSScore")</f>
        <v>pre_NeuroExamANSScore</v>
      </c>
      <c r="H17" s="6" t="str">
        <f>IFERROR(__xludf.DUMMYFUNCTION("""COMPUTED_VALUE"""),"pre_TotalModifiedSarnatScore")</f>
        <v>pre_TotalModifiedSarnatScore</v>
      </c>
      <c r="I17" s="6" t="str">
        <f>IFERROR(__xludf.DUMMYFUNCTION("""COMPUTED_VALUE"""),"]")</f>
        <v>]</v>
      </c>
    </row>
    <row r="18">
      <c r="A18" s="1" t="str">
        <f>'01-number of variables'!A18</f>
        <v>02-01-temperature.csv</v>
      </c>
      <c r="B18" s="1">
        <f>'01-number of variables'!B18</f>
        <v>11</v>
      </c>
      <c r="C18" s="1" t="str">
        <f>'01-number of variables'!C18</f>
        <v>['temperatureTimeSlot_min', 'temperatureTimeSlotNoForm', 'temperatureDate', 'temperatureTime', 'skinTemperature_C', 'axillaryTemperature_C', 'esophagealTemperature_C', 'blanketTemperature_C', 'servoSetTemperature_C', 'alterationSkinIntegrity', 'shiver']</v>
      </c>
      <c r="D18" s="1" t="str">
        <f>'01-number of variables'!D19</f>
        <v/>
      </c>
      <c r="E18" s="1" t="str">
        <f>IFERROR(__xludf.DUMMYFUNCTION("split(C18, ""', '"")"),"[")</f>
        <v>[</v>
      </c>
      <c r="F18" s="6" t="str">
        <f>IFERROR(__xludf.DUMMYFUNCTION("""COMPUTED_VALUE"""),"temperatureTimeSlot_min")</f>
        <v>temperatureTimeSlot_min</v>
      </c>
      <c r="G18" s="6" t="str">
        <f>IFERROR(__xludf.DUMMYFUNCTION("""COMPUTED_VALUE"""),"temperatureTimeSlotNoForm")</f>
        <v>temperatureTimeSlotNoForm</v>
      </c>
      <c r="H18" s="6" t="str">
        <f>IFERROR(__xludf.DUMMYFUNCTION("""COMPUTED_VALUE"""),"temperatureDate")</f>
        <v>temperatureDate</v>
      </c>
      <c r="I18" s="6" t="str">
        <f>IFERROR(__xludf.DUMMYFUNCTION("""COMPUTED_VALUE"""),"temperatureTime")</f>
        <v>temperatureTime</v>
      </c>
      <c r="J18" s="6" t="str">
        <f>IFERROR(__xludf.DUMMYFUNCTION("""COMPUTED_VALUE"""),"skinTemperature_C")</f>
        <v>skinTemperature_C</v>
      </c>
      <c r="K18" s="6" t="str">
        <f>IFERROR(__xludf.DUMMYFUNCTION("""COMPUTED_VALUE"""),"axillaryTemperature_C")</f>
        <v>axillaryTemperature_C</v>
      </c>
      <c r="L18" s="6" t="str">
        <f>IFERROR(__xludf.DUMMYFUNCTION("""COMPUTED_VALUE"""),"esophagealTemperature_C")</f>
        <v>esophagealTemperature_C</v>
      </c>
      <c r="M18" s="6" t="str">
        <f>IFERROR(__xludf.DUMMYFUNCTION("""COMPUTED_VALUE"""),"blanketTemperature_C")</f>
        <v>blanketTemperature_C</v>
      </c>
      <c r="N18" s="6" t="str">
        <f>IFERROR(__xludf.DUMMYFUNCTION("""COMPUTED_VALUE"""),"servoSetTemperature_C")</f>
        <v>servoSetTemperature_C</v>
      </c>
      <c r="O18" s="6" t="str">
        <f>IFERROR(__xludf.DUMMYFUNCTION("""COMPUTED_VALUE"""),"alterationSkinIntegrity")</f>
        <v>alterationSkinIntegrity</v>
      </c>
      <c r="P18" s="6" t="str">
        <f>IFERROR(__xludf.DUMMYFUNCTION("""COMPUTED_VALUE"""),"shiver")</f>
        <v>shiver</v>
      </c>
      <c r="Q18" s="6" t="str">
        <f>IFERROR(__xludf.DUMMYFUNCTION("""COMPUTED_VALUE"""),"]")</f>
        <v>]</v>
      </c>
    </row>
    <row r="19">
      <c r="A19" s="1" t="str">
        <f>'01-number of variables'!A19</f>
        <v>02-02-cardiovascular.csv</v>
      </c>
      <c r="B19" s="1">
        <f>'01-number of variables'!B19</f>
        <v>10</v>
      </c>
      <c r="C19" s="1" t="str">
        <f>'01-number of variables'!C19</f>
        <v>['cardioTimeSlot_min', 'cardioDate', 'cardioTime', 'cardioSystolicBloodPressure_mmHg', 'cardioDiastolicBloodPressure_mmHg', 'cardioHeartRate_BPM', 'cardioVolumeExpand', 'cardioInotropicAgent', 'cardioBloodTransfusion', 'cardioPlatelets']</v>
      </c>
      <c r="D19" s="1" t="str">
        <f>'01-number of variables'!D20</f>
        <v/>
      </c>
      <c r="E19" s="1" t="str">
        <f>IFERROR(__xludf.DUMMYFUNCTION("split(C19, ""', '"")"),"[")</f>
        <v>[</v>
      </c>
      <c r="F19" s="6" t="str">
        <f>IFERROR(__xludf.DUMMYFUNCTION("""COMPUTED_VALUE"""),"cardioTimeSlot_min")</f>
        <v>cardioTimeSlot_min</v>
      </c>
      <c r="G19" s="6" t="str">
        <f>IFERROR(__xludf.DUMMYFUNCTION("""COMPUTED_VALUE"""),"cardioDate")</f>
        <v>cardioDate</v>
      </c>
      <c r="H19" s="6" t="str">
        <f>IFERROR(__xludf.DUMMYFUNCTION("""COMPUTED_VALUE"""),"cardioTime")</f>
        <v>cardioTime</v>
      </c>
      <c r="I19" s="6" t="str">
        <f>IFERROR(__xludf.DUMMYFUNCTION("""COMPUTED_VALUE"""),"cardioSystolicBloodPressure_mmHg")</f>
        <v>cardioSystolicBloodPressure_mmHg</v>
      </c>
      <c r="J19" s="6" t="str">
        <f>IFERROR(__xludf.DUMMYFUNCTION("""COMPUTED_VALUE"""),"cardioDiastolicBloodPressure_mmHg")</f>
        <v>cardioDiastolicBloodPressure_mmHg</v>
      </c>
      <c r="K19" s="6" t="str">
        <f>IFERROR(__xludf.DUMMYFUNCTION("""COMPUTED_VALUE"""),"cardioHeartRate_BPM")</f>
        <v>cardioHeartRate_BPM</v>
      </c>
      <c r="L19" s="6" t="str">
        <f>IFERROR(__xludf.DUMMYFUNCTION("""COMPUTED_VALUE"""),"cardioVolumeExpand")</f>
        <v>cardioVolumeExpand</v>
      </c>
      <c r="M19" s="6" t="str">
        <f>IFERROR(__xludf.DUMMYFUNCTION("""COMPUTED_VALUE"""),"cardioInotropicAgent")</f>
        <v>cardioInotropicAgent</v>
      </c>
      <c r="N19" s="6" t="str">
        <f>IFERROR(__xludf.DUMMYFUNCTION("""COMPUTED_VALUE"""),"cardioBloodTransfusion")</f>
        <v>cardioBloodTransfusion</v>
      </c>
      <c r="O19" s="6" t="str">
        <f>IFERROR(__xludf.DUMMYFUNCTION("""COMPUTED_VALUE"""),"cardioPlatelets")</f>
        <v>cardioPlatelets</v>
      </c>
      <c r="P19" s="6" t="str">
        <f>IFERROR(__xludf.DUMMYFUNCTION("""COMPUTED_VALUE"""),"]")</f>
        <v>]</v>
      </c>
    </row>
    <row r="20">
      <c r="A20" s="1" t="str">
        <f>'01-number of variables'!A20</f>
        <v>02-03-respiratory.csv</v>
      </c>
      <c r="B20" s="1">
        <f>'01-number of variables'!B20</f>
        <v>9</v>
      </c>
      <c r="C20" s="1" t="str">
        <f>'01-number of variables'!C20</f>
        <v>['respiratoryTimeSlot_min', 'respiratoryDate', 'respiratoryTime', 'respiratorySupportType', 'respiratoryFiO2', 'respiratoryRate_Hz', 'respiratoryPIP_cmH2O', 'respiratoryMAP_cmH2O', 'respiratoryPEEP_cmH2O']</v>
      </c>
      <c r="D20" s="1" t="str">
        <f>'01-number of variables'!D21</f>
        <v/>
      </c>
      <c r="E20" s="1" t="str">
        <f>IFERROR(__xludf.DUMMYFUNCTION("split(C20, ""', '"")"),"[")</f>
        <v>[</v>
      </c>
      <c r="F20" s="6" t="str">
        <f>IFERROR(__xludf.DUMMYFUNCTION("""COMPUTED_VALUE"""),"respiratoryTimeSlot_min")</f>
        <v>respiratoryTimeSlot_min</v>
      </c>
      <c r="G20" s="6" t="str">
        <f>IFERROR(__xludf.DUMMYFUNCTION("""COMPUTED_VALUE"""),"respiratoryDate")</f>
        <v>respiratoryDate</v>
      </c>
      <c r="H20" s="6" t="str">
        <f>IFERROR(__xludf.DUMMYFUNCTION("""COMPUTED_VALUE"""),"respiratoryTime")</f>
        <v>respiratoryTime</v>
      </c>
      <c r="I20" s="6" t="str">
        <f>IFERROR(__xludf.DUMMYFUNCTION("""COMPUTED_VALUE"""),"respiratorySupportType")</f>
        <v>respiratorySupportType</v>
      </c>
      <c r="J20" s="6" t="str">
        <f>IFERROR(__xludf.DUMMYFUNCTION("""COMPUTED_VALUE"""),"respiratoryFiO2")</f>
        <v>respiratoryFiO2</v>
      </c>
      <c r="K20" s="6" t="str">
        <f>IFERROR(__xludf.DUMMYFUNCTION("""COMPUTED_VALUE"""),"respiratoryRate_Hz")</f>
        <v>respiratoryRate_Hz</v>
      </c>
      <c r="L20" s="6" t="str">
        <f>IFERROR(__xludf.DUMMYFUNCTION("""COMPUTED_VALUE"""),"respiratoryPIP_cmH2O")</f>
        <v>respiratoryPIP_cmH2O</v>
      </c>
      <c r="M20" s="6" t="str">
        <f>IFERROR(__xludf.DUMMYFUNCTION("""COMPUTED_VALUE"""),"respiratoryMAP_cmH2O")</f>
        <v>respiratoryMAP_cmH2O</v>
      </c>
      <c r="N20" s="6" t="str">
        <f>IFERROR(__xludf.DUMMYFUNCTION("""COMPUTED_VALUE"""),"respiratoryPEEP_cmH2O")</f>
        <v>respiratoryPEEP_cmH2O</v>
      </c>
      <c r="O20" s="6" t="str">
        <f>IFERROR(__xludf.DUMMYFUNCTION("""COMPUTED_VALUE"""),"]")</f>
        <v>]</v>
      </c>
    </row>
    <row r="21">
      <c r="A21" s="1" t="str">
        <f>'01-number of variables'!A21</f>
        <v>02-04-blood-gas.csv</v>
      </c>
      <c r="B21" s="1">
        <f>'01-number of variables'!B21</f>
        <v>14</v>
      </c>
      <c r="C21" s="1" t="str">
        <f>'01-number of variables'!C21</f>
        <v>['bloodGasTimeSlot_min', 'bloodGasDate', 'bloodGasTime', 'bloodGasSrc', 'bloodGasPH', 'bloodGasPCO2_mmHg', 'bloodGasPO2_mmHg', 'bloodGasHCO3_mEqPerL', 'bloodGasBaseDeficit_mEqPerL', 'bloodGasPHCorrect', 'bloodGasPCO2Correct_mmHg', 'bloodGasPO2Correct_mmHg', 'bloodGasHCO3Correct_mEqPerL', 'bloodGasBaseDeficitCorrect_mEqPerL']</v>
      </c>
      <c r="D21" s="1" t="str">
        <f>'01-number of variables'!D22</f>
        <v/>
      </c>
      <c r="E21" s="1" t="str">
        <f>IFERROR(__xludf.DUMMYFUNCTION("split(C21, ""', '"")"),"[")</f>
        <v>[</v>
      </c>
      <c r="F21" s="6" t="str">
        <f>IFERROR(__xludf.DUMMYFUNCTION("""COMPUTED_VALUE"""),"bloodGasTimeSlot_min")</f>
        <v>bloodGasTimeSlot_min</v>
      </c>
      <c r="G21" s="6" t="str">
        <f>IFERROR(__xludf.DUMMYFUNCTION("""COMPUTED_VALUE"""),"bloodGasDate")</f>
        <v>bloodGasDate</v>
      </c>
      <c r="H21" s="6" t="str">
        <f>IFERROR(__xludf.DUMMYFUNCTION("""COMPUTED_VALUE"""),"bloodGasTime")</f>
        <v>bloodGasTime</v>
      </c>
      <c r="I21" s="6" t="str">
        <f>IFERROR(__xludf.DUMMYFUNCTION("""COMPUTED_VALUE"""),"bloodGasSrc")</f>
        <v>bloodGasSrc</v>
      </c>
      <c r="J21" s="6" t="str">
        <f>IFERROR(__xludf.DUMMYFUNCTION("""COMPUTED_VALUE"""),"bloodGasPH")</f>
        <v>bloodGasPH</v>
      </c>
      <c r="K21" s="6" t="str">
        <f>IFERROR(__xludf.DUMMYFUNCTION("""COMPUTED_VALUE"""),"bloodGasPCO2_mmHg")</f>
        <v>bloodGasPCO2_mmHg</v>
      </c>
      <c r="L21" s="6" t="str">
        <f>IFERROR(__xludf.DUMMYFUNCTION("""COMPUTED_VALUE"""),"bloodGasPO2_mmHg")</f>
        <v>bloodGasPO2_mmHg</v>
      </c>
      <c r="M21" s="6" t="str">
        <f>IFERROR(__xludf.DUMMYFUNCTION("""COMPUTED_VALUE"""),"bloodGasHCO3_mEqPerL")</f>
        <v>bloodGasHCO3_mEqPerL</v>
      </c>
      <c r="N21" s="6" t="str">
        <f>IFERROR(__xludf.DUMMYFUNCTION("""COMPUTED_VALUE"""),"bloodGasBaseDeficit_mEqPerL")</f>
        <v>bloodGasBaseDeficit_mEqPerL</v>
      </c>
      <c r="O21" s="6" t="str">
        <f>IFERROR(__xludf.DUMMYFUNCTION("""COMPUTED_VALUE"""),"bloodGasPHCorrect")</f>
        <v>bloodGasPHCorrect</v>
      </c>
      <c r="P21" s="6" t="str">
        <f>IFERROR(__xludf.DUMMYFUNCTION("""COMPUTED_VALUE"""),"bloodGasPCO2Correct_mmHg")</f>
        <v>bloodGasPCO2Correct_mmHg</v>
      </c>
      <c r="Q21" s="6" t="str">
        <f>IFERROR(__xludf.DUMMYFUNCTION("""COMPUTED_VALUE"""),"bloodGasPO2Correct_mmHg")</f>
        <v>bloodGasPO2Correct_mmHg</v>
      </c>
      <c r="R21" s="6" t="str">
        <f>IFERROR(__xludf.DUMMYFUNCTION("""COMPUTED_VALUE"""),"bloodGasHCO3Correct_mEqPerL")</f>
        <v>bloodGasHCO3Correct_mEqPerL</v>
      </c>
      <c r="S21" s="6" t="str">
        <f>IFERROR(__xludf.DUMMYFUNCTION("""COMPUTED_VALUE"""),"bloodGasBaseDeficitCorrect_mEqPerL")</f>
        <v>bloodGasBaseDeficitCorrect_mEqPerL</v>
      </c>
      <c r="T21" s="6" t="str">
        <f>IFERROR(__xludf.DUMMYFUNCTION("""COMPUTED_VALUE"""),"]")</f>
        <v>]</v>
      </c>
    </row>
    <row r="22">
      <c r="A22" s="1" t="str">
        <f>'01-number of variables'!A22</f>
        <v>02-05-hematology.csv</v>
      </c>
      <c r="B22" s="1">
        <f>'01-number of variables'!B22</f>
        <v>12</v>
      </c>
      <c r="C22" s="1" t="str">
        <f>'01-number of variables'!C22</f>
        <v>['hematology', 'hematologyTimeSlot_min', 'hematologyDate', 'hematologyTime', 'hematologyWBC_cPermuL', 'hematologyHemoglobin_gPerdL', 'hematologyPolymorphNeutrophils_cPermuL', 'hematologyMonocytes_cPermuL', 'hematologyLymphocytes_cPermuL', 'hematologyPlatelet_cPermuL', 'hematologyPT_s', 'hematologyPTT_s']</v>
      </c>
      <c r="D22" s="1" t="str">
        <f>'01-number of variables'!D23</f>
        <v/>
      </c>
      <c r="E22" s="1" t="str">
        <f>IFERROR(__xludf.DUMMYFUNCTION("split(C22, ""', '"")"),"[")</f>
        <v>[</v>
      </c>
      <c r="F22" s="6" t="str">
        <f>IFERROR(__xludf.DUMMYFUNCTION("""COMPUTED_VALUE"""),"hematology")</f>
        <v>hematology</v>
      </c>
      <c r="G22" s="6" t="str">
        <f>IFERROR(__xludf.DUMMYFUNCTION("""COMPUTED_VALUE"""),"hematologyTimeSlot_min")</f>
        <v>hematologyTimeSlot_min</v>
      </c>
      <c r="H22" s="6" t="str">
        <f>IFERROR(__xludf.DUMMYFUNCTION("""COMPUTED_VALUE"""),"hematologyDate")</f>
        <v>hematologyDate</v>
      </c>
      <c r="I22" s="6" t="str">
        <f>IFERROR(__xludf.DUMMYFUNCTION("""COMPUTED_VALUE"""),"hematologyTime")</f>
        <v>hematologyTime</v>
      </c>
      <c r="J22" s="6" t="str">
        <f>IFERROR(__xludf.DUMMYFUNCTION("""COMPUTED_VALUE"""),"hematologyWBC_cPermuL")</f>
        <v>hematologyWBC_cPermuL</v>
      </c>
      <c r="K22" s="6" t="str">
        <f>IFERROR(__xludf.DUMMYFUNCTION("""COMPUTED_VALUE"""),"hematologyHemoglobin_gPerdL")</f>
        <v>hematologyHemoglobin_gPerdL</v>
      </c>
      <c r="L22" s="6" t="str">
        <f>IFERROR(__xludf.DUMMYFUNCTION("""COMPUTED_VALUE"""),"hematologyPolymorphNeutrophils_cPermuL")</f>
        <v>hematologyPolymorphNeutrophils_cPermuL</v>
      </c>
      <c r="M22" s="6" t="str">
        <f>IFERROR(__xludf.DUMMYFUNCTION("""COMPUTED_VALUE"""),"hematologyMonocytes_cPermuL")</f>
        <v>hematologyMonocytes_cPermuL</v>
      </c>
      <c r="N22" s="6" t="str">
        <f>IFERROR(__xludf.DUMMYFUNCTION("""COMPUTED_VALUE"""),"hematologyLymphocytes_cPermuL")</f>
        <v>hematologyLymphocytes_cPermuL</v>
      </c>
      <c r="O22" s="6" t="str">
        <f>IFERROR(__xludf.DUMMYFUNCTION("""COMPUTED_VALUE"""),"hematologyPlatelet_cPermuL")</f>
        <v>hematologyPlatelet_cPermuL</v>
      </c>
      <c r="P22" s="6" t="str">
        <f>IFERROR(__xludf.DUMMYFUNCTION("""COMPUTED_VALUE"""),"hematologyPT_s")</f>
        <v>hematologyPT_s</v>
      </c>
      <c r="Q22" s="6" t="str">
        <f>IFERROR(__xludf.DUMMYFUNCTION("""COMPUTED_VALUE"""),"hematologyPTT_s")</f>
        <v>hematologyPTT_s</v>
      </c>
      <c r="R22" s="6" t="str">
        <f>IFERROR(__xludf.DUMMYFUNCTION("""COMPUTED_VALUE"""),"]")</f>
        <v>]</v>
      </c>
    </row>
    <row r="23">
      <c r="A23" s="1" t="str">
        <f>'01-number of variables'!A23</f>
        <v>02-05_s-hematology.csv</v>
      </c>
      <c r="B23" s="1">
        <f>'01-number of variables'!B23</f>
        <v>4</v>
      </c>
      <c r="C23" s="1" t="str">
        <f>'01-number of variables'!C23</f>
        <v>['hematologyHematocritMin', 'hematologyHematocritMinDate', 'hematologyPlateletMin_cPermuL', 'hematologyPlateletMin_cPermuLDate']</v>
      </c>
      <c r="D23" s="1" t="str">
        <f>'01-number of variables'!D24</f>
        <v/>
      </c>
      <c r="E23" s="1" t="str">
        <f>IFERROR(__xludf.DUMMYFUNCTION("split(C23, ""', '"")"),"[")</f>
        <v>[</v>
      </c>
      <c r="F23" s="6" t="str">
        <f>IFERROR(__xludf.DUMMYFUNCTION("""COMPUTED_VALUE"""),"hematologyHematocritMin")</f>
        <v>hematologyHematocritMin</v>
      </c>
      <c r="G23" s="6" t="str">
        <f>IFERROR(__xludf.DUMMYFUNCTION("""COMPUTED_VALUE"""),"hematologyHematocritMinDate")</f>
        <v>hematologyHematocritMinDate</v>
      </c>
      <c r="H23" s="6" t="str">
        <f>IFERROR(__xludf.DUMMYFUNCTION("""COMPUTED_VALUE"""),"hematologyPlateletMin_cPermuL")</f>
        <v>hematologyPlateletMin_cPermuL</v>
      </c>
      <c r="I23" s="6" t="str">
        <f>IFERROR(__xludf.DUMMYFUNCTION("""COMPUTED_VALUE"""),"hematologyPlateletMin_cPermuLDate")</f>
        <v>hematologyPlateletMin_cPermuLDate</v>
      </c>
      <c r="J23" s="6" t="str">
        <f>IFERROR(__xludf.DUMMYFUNCTION("""COMPUTED_VALUE"""),"]")</f>
        <v>]</v>
      </c>
    </row>
    <row r="24">
      <c r="A24" s="1" t="str">
        <f>'01-number of variables'!A24</f>
        <v>02-06_s-blood-value.csv</v>
      </c>
      <c r="B24" s="1">
        <f>'01-number of variables'!B24</f>
        <v>58</v>
      </c>
      <c r="C24" s="1" t="str">
        <f>'01-number of variables'!C24</f>
        <v>['bloodValueBunBaseline_mgPerdL', 'bloodValueBunBaseline_mgPerdLDate', 'bloodValueCreatinineBaseline_mgPerdL', 'bloodValueCreatinineBaseline_mgPerdLDate', 'bloodValueASTSGOTBaseline_UPerL', 'bloodValueASTSGOTBaseline_UPerLDate', 'bloodValueALTSGPTBaseline_UPerL', 'bloodValueALTSGPTBaseline_UPerLDate', 'bloodValueTotalBilirubinBaseline_mgPerdL', 'bloodValueTotalBilirubinBaseline_mgPerdLDate', 'bloodValuePHMin', 'bloodValuePHMinDate', 'bloodValueHCO3Min_mEqPerL', 'bloodValueHCO3Min_mEqPerLDate', 'bloodValueSerumNaMin_mEqPerL', 'bloodValueSerumNaMin_mEqPerLDate', 'bloodValueSerumKMin_mEqPerL', 'bloodValueSerumKMin_mEqPerLDate', 'bloodValueClMin_mEqPerL', 'bloodValueClMin_mEqPerLDate', 'bloodValueGlucoseMin_mgPerdL', 'bloodValueGlucoseMin_mgPerdLDate', 'bloodValueTotalCaMin_mgPerdL', 'bloodValueTotalCaMin_mgPerdLDate', 'bloodValueIonCaMin_mgPerdL', 'bloodValueIonCaMin_mgPerdLDate', 'bloodValueASTSGOTMin_UPerL', 'bloodValueASTSGOTMin_UPerLDate', 'bloodValueALTSGPTMin_UPerL', 'bloodValueALTSGPTMin_UPerLDate', 'bloodValueTotalBilirubinMin_mgPerdL', 'bloodValueTotalBilirubinMin_mgPerdLDate', 'bloodValuePHMax', 'bloodValuePHMaxDate', 'bloodValueBaseDeficitMax_mEqPerL', 'bloodValueBaseDeficitMax_mEqPerLDate', 'bloodValueSerumNaMax_mEqPerL', 'bloodValueSerumNaMax_mEqPerLDate', 'bloodValueSerumKMax_mEqPerL', 'bloodValueSerumKMax_mEqPerLDate', 'bloodValueClMax_mEqPerL', 'bloodValueClMax_mEqPerLDate', 'bloodValueBunMax_mgPerdL', 'bloodValueBunMax_mgPerdLDate', 'bloodValueCreatinineMax_mgPerdL', 'bloodValueCreatinineMax_mgPerdLDate', 'bloodValueGlucoseMax_mgPerdL', 'bloodValueGlucoseMax_mgPerdLDate', 'bloodValueTotalCaMax_mgPerdL', 'bloodValueTotalCaMax_mgPerdLDate', 'bloodValueIonCaMax_mgPerdL', 'bloodValueIonCaMax_mgPerdLDate', 'bloodValueASTSGOTMax_UPerL', 'bloodValueASTSGOTMax_UPerLDate', 'bloodValueALTSGPTMax_UPerL', 'bloodValueALTSGPTMax_UPerLDate', 'bloodValueTotalBilirubinMax_mgPerdL', 'bloodValueTotalBilirubinMax_mgPerdLDate']</v>
      </c>
      <c r="D24" s="1" t="str">
        <f>'01-number of variables'!D25</f>
        <v/>
      </c>
      <c r="E24" s="1" t="str">
        <f>IFERROR(__xludf.DUMMYFUNCTION("split(C24, ""', '"")"),"[")</f>
        <v>[</v>
      </c>
      <c r="F24" s="6" t="str">
        <f>IFERROR(__xludf.DUMMYFUNCTION("""COMPUTED_VALUE"""),"bloodValueBunBaseline_mgPerdL")</f>
        <v>bloodValueBunBaseline_mgPerdL</v>
      </c>
      <c r="G24" s="6" t="str">
        <f>IFERROR(__xludf.DUMMYFUNCTION("""COMPUTED_VALUE"""),"bloodValueBunBaseline_mgPerdLDate")</f>
        <v>bloodValueBunBaseline_mgPerdLDate</v>
      </c>
      <c r="H24" s="6" t="str">
        <f>IFERROR(__xludf.DUMMYFUNCTION("""COMPUTED_VALUE"""),"bloodValueCreatinineBaseline_mgPerdL")</f>
        <v>bloodValueCreatinineBaseline_mgPerdL</v>
      </c>
      <c r="I24" s="6" t="str">
        <f>IFERROR(__xludf.DUMMYFUNCTION("""COMPUTED_VALUE"""),"bloodValueCreatinineBaseline_mgPerdLDate")</f>
        <v>bloodValueCreatinineBaseline_mgPerdLDate</v>
      </c>
      <c r="J24" s="6" t="str">
        <f>IFERROR(__xludf.DUMMYFUNCTION("""COMPUTED_VALUE"""),"bloodValueASTSGOTBaseline_UPerL")</f>
        <v>bloodValueASTSGOTBaseline_UPerL</v>
      </c>
      <c r="K24" s="6" t="str">
        <f>IFERROR(__xludf.DUMMYFUNCTION("""COMPUTED_VALUE"""),"bloodValueASTSGOTBaseline_UPerLDate")</f>
        <v>bloodValueASTSGOTBaseline_UPerLDate</v>
      </c>
      <c r="L24" s="6" t="str">
        <f>IFERROR(__xludf.DUMMYFUNCTION("""COMPUTED_VALUE"""),"bloodValueALTSGPTBaseline_UPerL")</f>
        <v>bloodValueALTSGPTBaseline_UPerL</v>
      </c>
      <c r="M24" s="6" t="str">
        <f>IFERROR(__xludf.DUMMYFUNCTION("""COMPUTED_VALUE"""),"bloodValueALTSGPTBaseline_UPerLDate")</f>
        <v>bloodValueALTSGPTBaseline_UPerLDate</v>
      </c>
      <c r="N24" s="6" t="str">
        <f>IFERROR(__xludf.DUMMYFUNCTION("""COMPUTED_VALUE"""),"bloodValueTotalBilirubinBaseline_mgPerdL")</f>
        <v>bloodValueTotalBilirubinBaseline_mgPerdL</v>
      </c>
      <c r="O24" s="6" t="str">
        <f>IFERROR(__xludf.DUMMYFUNCTION("""COMPUTED_VALUE"""),"bloodValueTotalBilirubinBaseline_mgPerdLDate")</f>
        <v>bloodValueTotalBilirubinBaseline_mgPerdLDate</v>
      </c>
      <c r="P24" s="6" t="str">
        <f>IFERROR(__xludf.DUMMYFUNCTION("""COMPUTED_VALUE"""),"bloodValuePHMin")</f>
        <v>bloodValuePHMin</v>
      </c>
      <c r="Q24" s="6" t="str">
        <f>IFERROR(__xludf.DUMMYFUNCTION("""COMPUTED_VALUE"""),"bloodValuePHMinDate")</f>
        <v>bloodValuePHMinDate</v>
      </c>
      <c r="R24" s="6" t="str">
        <f>IFERROR(__xludf.DUMMYFUNCTION("""COMPUTED_VALUE"""),"bloodValueHCO3Min_mEqPerL")</f>
        <v>bloodValueHCO3Min_mEqPerL</v>
      </c>
      <c r="S24" s="6" t="str">
        <f>IFERROR(__xludf.DUMMYFUNCTION("""COMPUTED_VALUE"""),"bloodValueHCO3Min_mEqPerLDate")</f>
        <v>bloodValueHCO3Min_mEqPerLDate</v>
      </c>
      <c r="T24" s="6" t="str">
        <f>IFERROR(__xludf.DUMMYFUNCTION("""COMPUTED_VALUE"""),"bloodValueSerumNaMin_mEqPerL")</f>
        <v>bloodValueSerumNaMin_mEqPerL</v>
      </c>
      <c r="U24" s="6" t="str">
        <f>IFERROR(__xludf.DUMMYFUNCTION("""COMPUTED_VALUE"""),"bloodValueSerumNaMin_mEqPerLDate")</f>
        <v>bloodValueSerumNaMin_mEqPerLDate</v>
      </c>
      <c r="V24" s="6" t="str">
        <f>IFERROR(__xludf.DUMMYFUNCTION("""COMPUTED_VALUE"""),"bloodValueSerumKMin_mEqPerL")</f>
        <v>bloodValueSerumKMin_mEqPerL</v>
      </c>
      <c r="W24" s="6" t="str">
        <f>IFERROR(__xludf.DUMMYFUNCTION("""COMPUTED_VALUE"""),"bloodValueSerumKMin_mEqPerLDate")</f>
        <v>bloodValueSerumKMin_mEqPerLDate</v>
      </c>
      <c r="X24" s="6" t="str">
        <f>IFERROR(__xludf.DUMMYFUNCTION("""COMPUTED_VALUE"""),"bloodValueClMin_mEqPerL")</f>
        <v>bloodValueClMin_mEqPerL</v>
      </c>
      <c r="Y24" s="6" t="str">
        <f>IFERROR(__xludf.DUMMYFUNCTION("""COMPUTED_VALUE"""),"bloodValueClMin_mEqPerLDate")</f>
        <v>bloodValueClMin_mEqPerLDate</v>
      </c>
      <c r="Z24" s="6" t="str">
        <f>IFERROR(__xludf.DUMMYFUNCTION("""COMPUTED_VALUE"""),"bloodValueGlucoseMin_mgPerdL")</f>
        <v>bloodValueGlucoseMin_mgPerdL</v>
      </c>
      <c r="AA24" s="6" t="str">
        <f>IFERROR(__xludf.DUMMYFUNCTION("""COMPUTED_VALUE"""),"bloodValueGlucoseMin_mgPerdLDate")</f>
        <v>bloodValueGlucoseMin_mgPerdLDate</v>
      </c>
      <c r="AB24" s="6" t="str">
        <f>IFERROR(__xludf.DUMMYFUNCTION("""COMPUTED_VALUE"""),"bloodValueTotalCaMin_mgPerdL")</f>
        <v>bloodValueTotalCaMin_mgPerdL</v>
      </c>
      <c r="AC24" s="6" t="str">
        <f>IFERROR(__xludf.DUMMYFUNCTION("""COMPUTED_VALUE"""),"bloodValueTotalCaMin_mgPerdLDate")</f>
        <v>bloodValueTotalCaMin_mgPerdLDate</v>
      </c>
      <c r="AD24" s="6" t="str">
        <f>IFERROR(__xludf.DUMMYFUNCTION("""COMPUTED_VALUE"""),"bloodValueIonCaMin_mgPerdL")</f>
        <v>bloodValueIonCaMin_mgPerdL</v>
      </c>
      <c r="AE24" s="6" t="str">
        <f>IFERROR(__xludf.DUMMYFUNCTION("""COMPUTED_VALUE"""),"bloodValueIonCaMin_mgPerdLDate")</f>
        <v>bloodValueIonCaMin_mgPerdLDate</v>
      </c>
      <c r="AF24" s="6" t="str">
        <f>IFERROR(__xludf.DUMMYFUNCTION("""COMPUTED_VALUE"""),"bloodValueASTSGOTMin_UPerL")</f>
        <v>bloodValueASTSGOTMin_UPerL</v>
      </c>
      <c r="AG24" s="6" t="str">
        <f>IFERROR(__xludf.DUMMYFUNCTION("""COMPUTED_VALUE"""),"bloodValueASTSGOTMin_UPerLDate")</f>
        <v>bloodValueASTSGOTMin_UPerLDate</v>
      </c>
      <c r="AH24" s="6" t="str">
        <f>IFERROR(__xludf.DUMMYFUNCTION("""COMPUTED_VALUE"""),"bloodValueALTSGPTMin_UPerL")</f>
        <v>bloodValueALTSGPTMin_UPerL</v>
      </c>
      <c r="AI24" s="6" t="str">
        <f>IFERROR(__xludf.DUMMYFUNCTION("""COMPUTED_VALUE"""),"bloodValueALTSGPTMin_UPerLDate")</f>
        <v>bloodValueALTSGPTMin_UPerLDate</v>
      </c>
      <c r="AJ24" s="6" t="str">
        <f>IFERROR(__xludf.DUMMYFUNCTION("""COMPUTED_VALUE"""),"bloodValueTotalBilirubinMin_mgPerdL")</f>
        <v>bloodValueTotalBilirubinMin_mgPerdL</v>
      </c>
      <c r="AK24" s="6" t="str">
        <f>IFERROR(__xludf.DUMMYFUNCTION("""COMPUTED_VALUE"""),"bloodValueTotalBilirubinMin_mgPerdLDate")</f>
        <v>bloodValueTotalBilirubinMin_mgPerdLDate</v>
      </c>
      <c r="AL24" s="6" t="str">
        <f>IFERROR(__xludf.DUMMYFUNCTION("""COMPUTED_VALUE"""),"bloodValuePHMax")</f>
        <v>bloodValuePHMax</v>
      </c>
      <c r="AM24" s="6" t="str">
        <f>IFERROR(__xludf.DUMMYFUNCTION("""COMPUTED_VALUE"""),"bloodValuePHMaxDate")</f>
        <v>bloodValuePHMaxDate</v>
      </c>
      <c r="AN24" s="6" t="str">
        <f>IFERROR(__xludf.DUMMYFUNCTION("""COMPUTED_VALUE"""),"bloodValueBaseDeficitMax_mEqPerL")</f>
        <v>bloodValueBaseDeficitMax_mEqPerL</v>
      </c>
      <c r="AO24" s="6" t="str">
        <f>IFERROR(__xludf.DUMMYFUNCTION("""COMPUTED_VALUE"""),"bloodValueBaseDeficitMax_mEqPerLDate")</f>
        <v>bloodValueBaseDeficitMax_mEqPerLDate</v>
      </c>
      <c r="AP24" s="6" t="str">
        <f>IFERROR(__xludf.DUMMYFUNCTION("""COMPUTED_VALUE"""),"bloodValueSerumNaMax_mEqPerL")</f>
        <v>bloodValueSerumNaMax_mEqPerL</v>
      </c>
      <c r="AQ24" s="6" t="str">
        <f>IFERROR(__xludf.DUMMYFUNCTION("""COMPUTED_VALUE"""),"bloodValueSerumNaMax_mEqPerLDate")</f>
        <v>bloodValueSerumNaMax_mEqPerLDate</v>
      </c>
      <c r="AR24" s="6" t="str">
        <f>IFERROR(__xludf.DUMMYFUNCTION("""COMPUTED_VALUE"""),"bloodValueSerumKMax_mEqPerL")</f>
        <v>bloodValueSerumKMax_mEqPerL</v>
      </c>
      <c r="AS24" s="6" t="str">
        <f>IFERROR(__xludf.DUMMYFUNCTION("""COMPUTED_VALUE"""),"bloodValueSerumKMax_mEqPerLDate")</f>
        <v>bloodValueSerumKMax_mEqPerLDate</v>
      </c>
      <c r="AT24" s="6" t="str">
        <f>IFERROR(__xludf.DUMMYFUNCTION("""COMPUTED_VALUE"""),"bloodValueClMax_mEqPerL")</f>
        <v>bloodValueClMax_mEqPerL</v>
      </c>
      <c r="AU24" s="6" t="str">
        <f>IFERROR(__xludf.DUMMYFUNCTION("""COMPUTED_VALUE"""),"bloodValueClMax_mEqPerLDate")</f>
        <v>bloodValueClMax_mEqPerLDate</v>
      </c>
      <c r="AV24" s="6" t="str">
        <f>IFERROR(__xludf.DUMMYFUNCTION("""COMPUTED_VALUE"""),"bloodValueBunMax_mgPerdL")</f>
        <v>bloodValueBunMax_mgPerdL</v>
      </c>
      <c r="AW24" s="6" t="str">
        <f>IFERROR(__xludf.DUMMYFUNCTION("""COMPUTED_VALUE"""),"bloodValueBunMax_mgPerdLDate")</f>
        <v>bloodValueBunMax_mgPerdLDate</v>
      </c>
      <c r="AX24" s="6" t="str">
        <f>IFERROR(__xludf.DUMMYFUNCTION("""COMPUTED_VALUE"""),"bloodValueCreatinineMax_mgPerdL")</f>
        <v>bloodValueCreatinineMax_mgPerdL</v>
      </c>
      <c r="AY24" s="6" t="str">
        <f>IFERROR(__xludf.DUMMYFUNCTION("""COMPUTED_VALUE"""),"bloodValueCreatinineMax_mgPerdLDate")</f>
        <v>bloodValueCreatinineMax_mgPerdLDate</v>
      </c>
      <c r="AZ24" s="6" t="str">
        <f>IFERROR(__xludf.DUMMYFUNCTION("""COMPUTED_VALUE"""),"bloodValueGlucoseMax_mgPerdL")</f>
        <v>bloodValueGlucoseMax_mgPerdL</v>
      </c>
      <c r="BA24" s="6" t="str">
        <f>IFERROR(__xludf.DUMMYFUNCTION("""COMPUTED_VALUE"""),"bloodValueGlucoseMax_mgPerdLDate")</f>
        <v>bloodValueGlucoseMax_mgPerdLDate</v>
      </c>
      <c r="BB24" s="6" t="str">
        <f>IFERROR(__xludf.DUMMYFUNCTION("""COMPUTED_VALUE"""),"bloodValueTotalCaMax_mgPerdL")</f>
        <v>bloodValueTotalCaMax_mgPerdL</v>
      </c>
      <c r="BC24" s="6" t="str">
        <f>IFERROR(__xludf.DUMMYFUNCTION("""COMPUTED_VALUE"""),"bloodValueTotalCaMax_mgPerdLDate")</f>
        <v>bloodValueTotalCaMax_mgPerdLDate</v>
      </c>
      <c r="BD24" s="6" t="str">
        <f>IFERROR(__xludf.DUMMYFUNCTION("""COMPUTED_VALUE"""),"bloodValueIonCaMax_mgPerdL")</f>
        <v>bloodValueIonCaMax_mgPerdL</v>
      </c>
      <c r="BE24" s="6" t="str">
        <f>IFERROR(__xludf.DUMMYFUNCTION("""COMPUTED_VALUE"""),"bloodValueIonCaMax_mgPerdLDate")</f>
        <v>bloodValueIonCaMax_mgPerdLDate</v>
      </c>
      <c r="BF24" s="6" t="str">
        <f>IFERROR(__xludf.DUMMYFUNCTION("""COMPUTED_VALUE"""),"bloodValueASTSGOTMax_UPerL")</f>
        <v>bloodValueASTSGOTMax_UPerL</v>
      </c>
      <c r="BG24" s="6" t="str">
        <f>IFERROR(__xludf.DUMMYFUNCTION("""COMPUTED_VALUE"""),"bloodValueASTSGOTMax_UPerLDate")</f>
        <v>bloodValueASTSGOTMax_UPerLDate</v>
      </c>
      <c r="BH24" s="6" t="str">
        <f>IFERROR(__xludf.DUMMYFUNCTION("""COMPUTED_VALUE"""),"bloodValueALTSGPTMax_UPerL")</f>
        <v>bloodValueALTSGPTMax_UPerL</v>
      </c>
      <c r="BI24" s="6" t="str">
        <f>IFERROR(__xludf.DUMMYFUNCTION("""COMPUTED_VALUE"""),"bloodValueALTSGPTMax_UPerLDate")</f>
        <v>bloodValueALTSGPTMax_UPerLDate</v>
      </c>
      <c r="BJ24" s="6" t="str">
        <f>IFERROR(__xludf.DUMMYFUNCTION("""COMPUTED_VALUE"""),"bloodValueTotalBilirubinMax_mgPerdL")</f>
        <v>bloodValueTotalBilirubinMax_mgPerdL</v>
      </c>
      <c r="BK24" s="6" t="str">
        <f>IFERROR(__xludf.DUMMYFUNCTION("""COMPUTED_VALUE"""),"bloodValueTotalBilirubinMax_mgPerdLDate")</f>
        <v>bloodValueTotalBilirubinMax_mgPerdLDate</v>
      </c>
      <c r="BL24" s="6" t="str">
        <f>IFERROR(__xludf.DUMMYFUNCTION("""COMPUTED_VALUE"""),"]")</f>
        <v>]</v>
      </c>
    </row>
    <row r="25">
      <c r="A25" s="1" t="str">
        <f>'01-number of variables'!A25</f>
        <v>02-07-infection.csv</v>
      </c>
      <c r="B25" s="1">
        <f>'01-number of variables'!B25</f>
        <v>10</v>
      </c>
      <c r="C25" s="1" t="str">
        <f>'01-number of variables'!C25</f>
        <v>['positiveCultureNumber', 'positiveCulture', 'positiveCultureSrc', 'positiveCultureDate', 'positiveCultureTime', 'positiveCultureOrganismCode1', 'antibiotics', 'antibioticsCode1', 'rewarmingAntibiotics', 'rewarmingAntibioticsCode1']</v>
      </c>
      <c r="D25" s="1" t="str">
        <f>'01-number of variables'!D26</f>
        <v/>
      </c>
      <c r="E25" s="1" t="str">
        <f>IFERROR(__xludf.DUMMYFUNCTION("split(C25, ""', '"")"),"[")</f>
        <v>[</v>
      </c>
      <c r="F25" s="6" t="str">
        <f>IFERROR(__xludf.DUMMYFUNCTION("""COMPUTED_VALUE"""),"positiveCultureNumber")</f>
        <v>positiveCultureNumber</v>
      </c>
      <c r="G25" s="6" t="str">
        <f>IFERROR(__xludf.DUMMYFUNCTION("""COMPUTED_VALUE"""),"positiveCulture")</f>
        <v>positiveCulture</v>
      </c>
      <c r="H25" s="6" t="str">
        <f>IFERROR(__xludf.DUMMYFUNCTION("""COMPUTED_VALUE"""),"positiveCultureSrc")</f>
        <v>positiveCultureSrc</v>
      </c>
      <c r="I25" s="6" t="str">
        <f>IFERROR(__xludf.DUMMYFUNCTION("""COMPUTED_VALUE"""),"positiveCultureDate")</f>
        <v>positiveCultureDate</v>
      </c>
      <c r="J25" s="6" t="str">
        <f>IFERROR(__xludf.DUMMYFUNCTION("""COMPUTED_VALUE"""),"positiveCultureTime")</f>
        <v>positiveCultureTime</v>
      </c>
      <c r="K25" s="6" t="str">
        <f>IFERROR(__xludf.DUMMYFUNCTION("""COMPUTED_VALUE"""),"positiveCultureOrganismCode1")</f>
        <v>positiveCultureOrganismCode1</v>
      </c>
      <c r="L25" s="6" t="str">
        <f>IFERROR(__xludf.DUMMYFUNCTION("""COMPUTED_VALUE"""),"antibiotics")</f>
        <v>antibiotics</v>
      </c>
      <c r="M25" s="6" t="str">
        <f>IFERROR(__xludf.DUMMYFUNCTION("""COMPUTED_VALUE"""),"antibioticsCode1")</f>
        <v>antibioticsCode1</v>
      </c>
      <c r="N25" s="6" t="str">
        <f>IFERROR(__xludf.DUMMYFUNCTION("""COMPUTED_VALUE"""),"rewarmingAntibiotics")</f>
        <v>rewarmingAntibiotics</v>
      </c>
      <c r="O25" s="6" t="str">
        <f>IFERROR(__xludf.DUMMYFUNCTION("""COMPUTED_VALUE"""),"rewarmingAntibioticsCode1")</f>
        <v>rewarmingAntibioticsCode1</v>
      </c>
      <c r="P25" s="6" t="str">
        <f>IFERROR(__xludf.DUMMYFUNCTION("""COMPUTED_VALUE"""),"]")</f>
        <v>]</v>
      </c>
    </row>
    <row r="26">
      <c r="A26" s="1" t="str">
        <f>'01-number of variables'!A26</f>
        <v>02-08-other-med.csv</v>
      </c>
      <c r="B26" s="1">
        <f>'01-number of variables'!B26</f>
        <v>9</v>
      </c>
      <c r="C26" s="1" t="str">
        <f>'01-number of variables'!C26</f>
        <v>['otherMedTimeSlot_min', 'otherMedTargetDate', 'otherMedTargetTime', 'anticonvulsants1', 'analgesicsSedatives1', 'antipyretics1', 'paralytics1', 'otherMedFluidIntake_ccPerKg', 'otherMedUrineOutput_ccPerKg']</v>
      </c>
      <c r="D26" s="1" t="str">
        <f>'01-number of variables'!D27</f>
        <v/>
      </c>
      <c r="E26" s="1" t="str">
        <f>IFERROR(__xludf.DUMMYFUNCTION("split(C26, ""', '"")"),"[")</f>
        <v>[</v>
      </c>
      <c r="F26" s="6" t="str">
        <f>IFERROR(__xludf.DUMMYFUNCTION("""COMPUTED_VALUE"""),"otherMedTimeSlot_min")</f>
        <v>otherMedTimeSlot_min</v>
      </c>
      <c r="G26" s="6" t="str">
        <f>IFERROR(__xludf.DUMMYFUNCTION("""COMPUTED_VALUE"""),"otherMedTargetDate")</f>
        <v>otherMedTargetDate</v>
      </c>
      <c r="H26" s="6" t="str">
        <f>IFERROR(__xludf.DUMMYFUNCTION("""COMPUTED_VALUE"""),"otherMedTargetTime")</f>
        <v>otherMedTargetTime</v>
      </c>
      <c r="I26" s="6" t="str">
        <f>IFERROR(__xludf.DUMMYFUNCTION("""COMPUTED_VALUE"""),"anticonvulsants1")</f>
        <v>anticonvulsants1</v>
      </c>
      <c r="J26" s="6" t="str">
        <f>IFERROR(__xludf.DUMMYFUNCTION("""COMPUTED_VALUE"""),"analgesicsSedatives1")</f>
        <v>analgesicsSedatives1</v>
      </c>
      <c r="K26" s="6" t="str">
        <f>IFERROR(__xludf.DUMMYFUNCTION("""COMPUTED_VALUE"""),"antipyretics1")</f>
        <v>antipyretics1</v>
      </c>
      <c r="L26" s="6" t="str">
        <f>IFERROR(__xludf.DUMMYFUNCTION("""COMPUTED_VALUE"""),"paralytics1")</f>
        <v>paralytics1</v>
      </c>
      <c r="M26" s="6" t="str">
        <f>IFERROR(__xludf.DUMMYFUNCTION("""COMPUTED_VALUE"""),"otherMedFluidIntake_ccPerKg")</f>
        <v>otherMedFluidIntake_ccPerKg</v>
      </c>
      <c r="N26" s="6" t="str">
        <f>IFERROR(__xludf.DUMMYFUNCTION("""COMPUTED_VALUE"""),"otherMedUrineOutput_ccPerKg")</f>
        <v>otherMedUrineOutput_ccPerKg</v>
      </c>
      <c r="O26" s="6" t="str">
        <f>IFERROR(__xludf.DUMMYFUNCTION("""COMPUTED_VALUE"""),"]")</f>
        <v>]</v>
      </c>
    </row>
    <row r="27">
      <c r="A27" s="1" t="str">
        <f>'01-number of variables'!A27</f>
        <v>02-09-imaging.csv</v>
      </c>
      <c r="B27" s="1">
        <f>'01-number of variables'!B27</f>
        <v>16</v>
      </c>
      <c r="C27" s="1" t="str">
        <f>'01-number of variables'!C27</f>
        <v>['imagingNumber', 'headSonogram', 'headSonogramDate', 'headSonogramTime', 'headSonogramResult1', 'headSonogramResultText', 'headCT', 'headCTDate', 'headCTTime', 'headCTResult1', 'headCTResultText', 'brainMRI', 'brainMRIDate', 'brainMRITime', 'brainMRIResult1', 'brainMRIResultText']</v>
      </c>
      <c r="D27" s="1" t="str">
        <f>'01-number of variables'!D28</f>
        <v/>
      </c>
      <c r="E27" s="1" t="str">
        <f>IFERROR(__xludf.DUMMYFUNCTION("split(C27, ""', '"")"),"[")</f>
        <v>[</v>
      </c>
      <c r="F27" s="6" t="str">
        <f>IFERROR(__xludf.DUMMYFUNCTION("""COMPUTED_VALUE"""),"imagingNumber")</f>
        <v>imagingNumber</v>
      </c>
      <c r="G27" s="6" t="str">
        <f>IFERROR(__xludf.DUMMYFUNCTION("""COMPUTED_VALUE"""),"headSonogram")</f>
        <v>headSonogram</v>
      </c>
      <c r="H27" s="6" t="str">
        <f>IFERROR(__xludf.DUMMYFUNCTION("""COMPUTED_VALUE"""),"headSonogramDate")</f>
        <v>headSonogramDate</v>
      </c>
      <c r="I27" s="6" t="str">
        <f>IFERROR(__xludf.DUMMYFUNCTION("""COMPUTED_VALUE"""),"headSonogramTime")</f>
        <v>headSonogramTime</v>
      </c>
      <c r="J27" s="6" t="str">
        <f>IFERROR(__xludf.DUMMYFUNCTION("""COMPUTED_VALUE"""),"headSonogramResult1")</f>
        <v>headSonogramResult1</v>
      </c>
      <c r="K27" s="6" t="str">
        <f>IFERROR(__xludf.DUMMYFUNCTION("""COMPUTED_VALUE"""),"headSonogramResultText")</f>
        <v>headSonogramResultText</v>
      </c>
      <c r="L27" s="6" t="str">
        <f>IFERROR(__xludf.DUMMYFUNCTION("""COMPUTED_VALUE"""),"headCT")</f>
        <v>headCT</v>
      </c>
      <c r="M27" s="6" t="str">
        <f>IFERROR(__xludf.DUMMYFUNCTION("""COMPUTED_VALUE"""),"headCTDate")</f>
        <v>headCTDate</v>
      </c>
      <c r="N27" s="6" t="str">
        <f>IFERROR(__xludf.DUMMYFUNCTION("""COMPUTED_VALUE"""),"headCTTime")</f>
        <v>headCTTime</v>
      </c>
      <c r="O27" s="6" t="str">
        <f>IFERROR(__xludf.DUMMYFUNCTION("""COMPUTED_VALUE"""),"headCTResult1")</f>
        <v>headCTResult1</v>
      </c>
      <c r="P27" s="6" t="str">
        <f>IFERROR(__xludf.DUMMYFUNCTION("""COMPUTED_VALUE"""),"headCTResultText")</f>
        <v>headCTResultText</v>
      </c>
      <c r="Q27" s="6" t="str">
        <f>IFERROR(__xludf.DUMMYFUNCTION("""COMPUTED_VALUE"""),"brainMRI")</f>
        <v>brainMRI</v>
      </c>
      <c r="R27" s="6" t="str">
        <f>IFERROR(__xludf.DUMMYFUNCTION("""COMPUTED_VALUE"""),"brainMRIDate")</f>
        <v>brainMRIDate</v>
      </c>
      <c r="S27" s="6" t="str">
        <f>IFERROR(__xludf.DUMMYFUNCTION("""COMPUTED_VALUE"""),"brainMRITime")</f>
        <v>brainMRITime</v>
      </c>
      <c r="T27" s="6" t="str">
        <f>IFERROR(__xludf.DUMMYFUNCTION("""COMPUTED_VALUE"""),"brainMRIResult1")</f>
        <v>brainMRIResult1</v>
      </c>
      <c r="U27" s="6" t="str">
        <f>IFERROR(__xludf.DUMMYFUNCTION("""COMPUTED_VALUE"""),"brainMRIResultText")</f>
        <v>brainMRIResultText</v>
      </c>
      <c r="V27" s="6" t="str">
        <f>IFERROR(__xludf.DUMMYFUNCTION("""COMPUTED_VALUE"""),"]")</f>
        <v>]</v>
      </c>
    </row>
    <row r="28">
      <c r="A28" s="1" t="str">
        <f>'01-number of variables'!A28</f>
        <v>02-11-elevated-temperature.csv</v>
      </c>
      <c r="B28" s="1">
        <f>'01-number of variables'!B28</f>
        <v>14</v>
      </c>
      <c r="C28" s="1" t="str">
        <f>'01-number of variables'!C28</f>
        <v>['elevatedTempNumber', 'elevatedTempMin', 'elevatedTempDate', 'elevatedTempTime', 'elevatedTempSkinTemperature_C', 'elevatedTempAxillaryTemperature_C', 'elevatedTempEsophagealTemperature_C', 'elevatedTempServoSet_C', 'elevatedTempDevice', 'elevatedTempDeviceMode', 'elevatedTempAirTemperature_C', 'elevatedTempBath', 'elevatedTempNoBathReason', 'elevatedTempBlanketrol']</v>
      </c>
      <c r="D28" s="1" t="str">
        <f>'01-number of variables'!D29</f>
        <v/>
      </c>
      <c r="E28" s="1" t="str">
        <f>IFERROR(__xludf.DUMMYFUNCTION("split(C28, ""', '"")"),"[")</f>
        <v>[</v>
      </c>
      <c r="F28" s="6" t="str">
        <f>IFERROR(__xludf.DUMMYFUNCTION("""COMPUTED_VALUE"""),"elevatedTempNumber")</f>
        <v>elevatedTempNumber</v>
      </c>
      <c r="G28" s="6" t="str">
        <f>IFERROR(__xludf.DUMMYFUNCTION("""COMPUTED_VALUE"""),"elevatedTempMin")</f>
        <v>elevatedTempMin</v>
      </c>
      <c r="H28" s="6" t="str">
        <f>IFERROR(__xludf.DUMMYFUNCTION("""COMPUTED_VALUE"""),"elevatedTempDate")</f>
        <v>elevatedTempDate</v>
      </c>
      <c r="I28" s="6" t="str">
        <f>IFERROR(__xludf.DUMMYFUNCTION("""COMPUTED_VALUE"""),"elevatedTempTime")</f>
        <v>elevatedTempTime</v>
      </c>
      <c r="J28" s="6" t="str">
        <f>IFERROR(__xludf.DUMMYFUNCTION("""COMPUTED_VALUE"""),"elevatedTempSkinTemperature_C")</f>
        <v>elevatedTempSkinTemperature_C</v>
      </c>
      <c r="K28" s="6" t="str">
        <f>IFERROR(__xludf.DUMMYFUNCTION("""COMPUTED_VALUE"""),"elevatedTempAxillaryTemperature_C")</f>
        <v>elevatedTempAxillaryTemperature_C</v>
      </c>
      <c r="L28" s="6" t="str">
        <f>IFERROR(__xludf.DUMMYFUNCTION("""COMPUTED_VALUE"""),"elevatedTempEsophagealTemperature_C")</f>
        <v>elevatedTempEsophagealTemperature_C</v>
      </c>
      <c r="M28" s="6" t="str">
        <f>IFERROR(__xludf.DUMMYFUNCTION("""COMPUTED_VALUE"""),"elevatedTempServoSet_C")</f>
        <v>elevatedTempServoSet_C</v>
      </c>
      <c r="N28" s="6" t="str">
        <f>IFERROR(__xludf.DUMMYFUNCTION("""COMPUTED_VALUE"""),"elevatedTempDevice")</f>
        <v>elevatedTempDevice</v>
      </c>
      <c r="O28" s="6" t="str">
        <f>IFERROR(__xludf.DUMMYFUNCTION("""COMPUTED_VALUE"""),"elevatedTempDeviceMode")</f>
        <v>elevatedTempDeviceMode</v>
      </c>
      <c r="P28" s="6" t="str">
        <f>IFERROR(__xludf.DUMMYFUNCTION("""COMPUTED_VALUE"""),"elevatedTempAirTemperature_C")</f>
        <v>elevatedTempAirTemperature_C</v>
      </c>
      <c r="Q28" s="6" t="str">
        <f>IFERROR(__xludf.DUMMYFUNCTION("""COMPUTED_VALUE"""),"elevatedTempBath")</f>
        <v>elevatedTempBath</v>
      </c>
      <c r="R28" s="6" t="str">
        <f>IFERROR(__xludf.DUMMYFUNCTION("""COMPUTED_VALUE"""),"elevatedTempNoBathReason")</f>
        <v>elevatedTempNoBathReason</v>
      </c>
      <c r="S28" s="6" t="str">
        <f>IFERROR(__xludf.DUMMYFUNCTION("""COMPUTED_VALUE"""),"elevatedTempBlanketrol")</f>
        <v>elevatedTempBlanketrol</v>
      </c>
      <c r="T28" s="6" t="str">
        <f>IFERROR(__xludf.DUMMYFUNCTION("""COMPUTED_VALUE"""),"]")</f>
        <v>]</v>
      </c>
    </row>
    <row r="29">
      <c r="A29" s="1" t="str">
        <f>'01-number of variables'!A29</f>
        <v>02-12-fluctuated-temperature.csv</v>
      </c>
      <c r="B29" s="1">
        <f>'01-number of variables'!B29</f>
        <v>9</v>
      </c>
      <c r="C29" s="1" t="str">
        <f>'01-number of variables'!C29</f>
        <v>['fluctuateTempNumber', 'fluctuateTempMin', 'fluctuateTempDate', 'fluctuateTempTime', 'fluctuateTempSkinTemperature_C', 'fluctuateTempAxillaryTemperature_C', 'fluctuateTempEsophagealTemperature_C', 'fluctuateTempBlanketrol_C', 'fluctuateTempServoSet_C']</v>
      </c>
      <c r="D29" s="1" t="str">
        <f>'01-number of variables'!D30</f>
        <v/>
      </c>
      <c r="E29" s="1" t="str">
        <f>IFERROR(__xludf.DUMMYFUNCTION("split(C29, ""', '"")"),"[")</f>
        <v>[</v>
      </c>
      <c r="F29" s="6" t="str">
        <f>IFERROR(__xludf.DUMMYFUNCTION("""COMPUTED_VALUE"""),"fluctuateTempNumber")</f>
        <v>fluctuateTempNumber</v>
      </c>
      <c r="G29" s="6" t="str">
        <f>IFERROR(__xludf.DUMMYFUNCTION("""COMPUTED_VALUE"""),"fluctuateTempMin")</f>
        <v>fluctuateTempMin</v>
      </c>
      <c r="H29" s="6" t="str">
        <f>IFERROR(__xludf.DUMMYFUNCTION("""COMPUTED_VALUE"""),"fluctuateTempDate")</f>
        <v>fluctuateTempDate</v>
      </c>
      <c r="I29" s="6" t="str">
        <f>IFERROR(__xludf.DUMMYFUNCTION("""COMPUTED_VALUE"""),"fluctuateTempTime")</f>
        <v>fluctuateTempTime</v>
      </c>
      <c r="J29" s="6" t="str">
        <f>IFERROR(__xludf.DUMMYFUNCTION("""COMPUTED_VALUE"""),"fluctuateTempSkinTemperature_C")</f>
        <v>fluctuateTempSkinTemperature_C</v>
      </c>
      <c r="K29" s="6" t="str">
        <f>IFERROR(__xludf.DUMMYFUNCTION("""COMPUTED_VALUE"""),"fluctuateTempAxillaryTemperature_C")</f>
        <v>fluctuateTempAxillaryTemperature_C</v>
      </c>
      <c r="L29" s="6" t="str">
        <f>IFERROR(__xludf.DUMMYFUNCTION("""COMPUTED_VALUE"""),"fluctuateTempEsophagealTemperature_C")</f>
        <v>fluctuateTempEsophagealTemperature_C</v>
      </c>
      <c r="M29" s="6" t="str">
        <f>IFERROR(__xludf.DUMMYFUNCTION("""COMPUTED_VALUE"""),"fluctuateTempBlanketrol_C")</f>
        <v>fluctuateTempBlanketrol_C</v>
      </c>
      <c r="N29" s="6" t="str">
        <f>IFERROR(__xludf.DUMMYFUNCTION("""COMPUTED_VALUE"""),"fluctuateTempServoSet_C")</f>
        <v>fluctuateTempServoSet_C</v>
      </c>
      <c r="O29" s="6" t="str">
        <f>IFERROR(__xludf.DUMMYFUNCTION("""COMPUTED_VALUE"""),"]")</f>
        <v>]</v>
      </c>
    </row>
    <row r="30">
      <c r="A30" s="1" t="str">
        <f>'01-number of variables'!A30</f>
        <v>02-13-bradycardia.csv</v>
      </c>
      <c r="B30" s="1">
        <f>'01-number of variables'!B30</f>
        <v>10</v>
      </c>
      <c r="C30" s="1" t="str">
        <f>'01-number of variables'!C30</f>
        <v>['bradycardiaEventNumber', 'bradycardiaLess70Greater15min', 'bradycardiaEKG', 'bradycardiaEKGResult', 'bradycardiaEKGResultOtherText', 'bradycardiaAntiarrhythmiaMedication', 'bradycardiaDate', 'bradycardiaTime', 'bradycardiaDuration', 'bradycardiaHeartRateMin']</v>
      </c>
      <c r="D30" s="1" t="str">
        <f>'01-number of variables'!D31</f>
        <v/>
      </c>
      <c r="E30" s="1" t="str">
        <f>IFERROR(__xludf.DUMMYFUNCTION("split(C30, ""', '"")"),"[")</f>
        <v>[</v>
      </c>
      <c r="F30" s="6" t="str">
        <f>IFERROR(__xludf.DUMMYFUNCTION("""COMPUTED_VALUE"""),"bradycardiaEventNumber")</f>
        <v>bradycardiaEventNumber</v>
      </c>
      <c r="G30" s="6" t="str">
        <f>IFERROR(__xludf.DUMMYFUNCTION("""COMPUTED_VALUE"""),"bradycardiaLess70Greater15min")</f>
        <v>bradycardiaLess70Greater15min</v>
      </c>
      <c r="H30" s="6" t="str">
        <f>IFERROR(__xludf.DUMMYFUNCTION("""COMPUTED_VALUE"""),"bradycardiaEKG")</f>
        <v>bradycardiaEKG</v>
      </c>
      <c r="I30" s="6" t="str">
        <f>IFERROR(__xludf.DUMMYFUNCTION("""COMPUTED_VALUE"""),"bradycardiaEKGResult")</f>
        <v>bradycardiaEKGResult</v>
      </c>
      <c r="J30" s="6" t="str">
        <f>IFERROR(__xludf.DUMMYFUNCTION("""COMPUTED_VALUE"""),"bradycardiaEKGResultOtherText")</f>
        <v>bradycardiaEKGResultOtherText</v>
      </c>
      <c r="K30" s="6" t="str">
        <f>IFERROR(__xludf.DUMMYFUNCTION("""COMPUTED_VALUE"""),"bradycardiaAntiarrhythmiaMedication")</f>
        <v>bradycardiaAntiarrhythmiaMedication</v>
      </c>
      <c r="L30" s="6" t="str">
        <f>IFERROR(__xludf.DUMMYFUNCTION("""COMPUTED_VALUE"""),"bradycardiaDate")</f>
        <v>bradycardiaDate</v>
      </c>
      <c r="M30" s="6" t="str">
        <f>IFERROR(__xludf.DUMMYFUNCTION("""COMPUTED_VALUE"""),"bradycardiaTime")</f>
        <v>bradycardiaTime</v>
      </c>
      <c r="N30" s="6" t="str">
        <f>IFERROR(__xludf.DUMMYFUNCTION("""COMPUTED_VALUE"""),"bradycardiaDuration")</f>
        <v>bradycardiaDuration</v>
      </c>
      <c r="O30" s="6" t="str">
        <f>IFERROR(__xludf.DUMMYFUNCTION("""COMPUTED_VALUE"""),"bradycardiaHeartRateMin")</f>
        <v>bradycardiaHeartRateMin</v>
      </c>
      <c r="P30" s="6" t="str">
        <f>IFERROR(__xludf.DUMMYFUNCTION("""COMPUTED_VALUE"""),"]")</f>
        <v>]</v>
      </c>
    </row>
    <row r="31">
      <c r="A31" s="1" t="str">
        <f>'01-number of variables'!A31</f>
        <v>02-14-adverse-event.csv</v>
      </c>
      <c r="B31" s="1">
        <f>'01-number of variables'!B31</f>
        <v>55</v>
      </c>
      <c r="C31" s="1" t="str">
        <f>'01-number of variables'!C31</f>
        <v>['adverseEventNumber', 'SAECardiacExperienceOnsetDate', 'SAECardiacExperienceOnsetTime', 'SAECardiacExperienceResolveDate', 'SAECardiacExperienceResolveTime', 'SAECardiacExperienceDueToHypothermia', 'SAECardiacExperienceActionTaken', 'SAECardiacExperienceOutcome', 'SAECardiacExperienceComment', 'SAEMetabolicAcidosisOnsetDate', 'SAEMetabolicAcidosisOnsetTime', 'SAEMetabolicAcidosisResolveDate', 'SAEMetabolicAcidosisResolveTime', 'SAEMetabolicAcidosisDueToHypothermia', 'SAEMetabolicAcidosisActionTaken', 'SAEMetabolicAcidosisOutcome', 'SAEMetabolicAcidosisComment', 'SAEThrombosisExperienceOnsetDate', 'SAEThrombosisExperienceOnsetTime', 'SAEThrombosisExperienceResolveDate', 'SAEThrombosisExperienceResolveTime', 'SAEThrombosisExperienceDueToHypothermia', 'SAEThrombosisExperienceActionTaken', 'SAEThrombosisExperienceOutcome', 'SAEThrombosisExperienceComment', 'SAEBleedingExperienceOnsetDate', 'SAEBleedingExperienceOnsetTime', 'SAEBleedingExperienceResolveDate', 'SAEBleedingExperienceResolveTime', 'SAEBleedingExperienceDueToHypothermia', 'SAEBleedingExperienceActionTaken', 'SAEBleedingExperienceOutcome', 'SAEBleedingExperienceComment', 'SAEAlterationSkinIntegrity', 'SAEAlterationSkinIntegrityOnsetDate', 'SAEAlterationSkinIntegrityResolveDate', 'SAEAlterationSkinIntegrityDueToHypothermia', 'SAEAlterationSkinIntegrityActionTaken', 'SAEAlterationSkinIntegrityOutcome', 'SAEAlterationSkinIntegrityComment', 'SAEDeathDate', 'SAEDeathTime', 'SAEDeathDueToHypothermia', 'SAEDeathActionTaken', 'SAEDeathOutcome', 'SAEDeathComment', 'SAEOther', 'SAEOtherOnsetDate', 'SAEOtherOnsetTime', 'SAEOtherResolveDate', 'SAEOtherResolveTime', 'SAEOtherDueToHypothermia', 'SAEOtherActionTaken', 'SAEOtherOutcome', 'SAEOtherComment']</v>
      </c>
      <c r="D31" s="1" t="str">
        <f>'01-number of variables'!D32</f>
        <v/>
      </c>
      <c r="E31" s="1" t="str">
        <f>IFERROR(__xludf.DUMMYFUNCTION("split(C31, ""', '"")"),"[")</f>
        <v>[</v>
      </c>
      <c r="F31" s="6" t="str">
        <f>IFERROR(__xludf.DUMMYFUNCTION("""COMPUTED_VALUE"""),"adverseEventNumber")</f>
        <v>adverseEventNumber</v>
      </c>
      <c r="G31" s="6" t="str">
        <f>IFERROR(__xludf.DUMMYFUNCTION("""COMPUTED_VALUE"""),"SAECardiacExperienceOnsetDate")</f>
        <v>SAECardiacExperienceOnsetDate</v>
      </c>
      <c r="H31" s="6" t="str">
        <f>IFERROR(__xludf.DUMMYFUNCTION("""COMPUTED_VALUE"""),"SAECardiacExperienceOnsetTime")</f>
        <v>SAECardiacExperienceOnsetTime</v>
      </c>
      <c r="I31" s="6" t="str">
        <f>IFERROR(__xludf.DUMMYFUNCTION("""COMPUTED_VALUE"""),"SAECardiacExperienceResolveDate")</f>
        <v>SAECardiacExperienceResolveDate</v>
      </c>
      <c r="J31" s="6" t="str">
        <f>IFERROR(__xludf.DUMMYFUNCTION("""COMPUTED_VALUE"""),"SAECardiacExperienceResolveTime")</f>
        <v>SAECardiacExperienceResolveTime</v>
      </c>
      <c r="K31" s="6" t="str">
        <f>IFERROR(__xludf.DUMMYFUNCTION("""COMPUTED_VALUE"""),"SAECardiacExperienceDueToHypothermia")</f>
        <v>SAECardiacExperienceDueToHypothermia</v>
      </c>
      <c r="L31" s="6" t="str">
        <f>IFERROR(__xludf.DUMMYFUNCTION("""COMPUTED_VALUE"""),"SAECardiacExperienceActionTaken")</f>
        <v>SAECardiacExperienceActionTaken</v>
      </c>
      <c r="M31" s="6" t="str">
        <f>IFERROR(__xludf.DUMMYFUNCTION("""COMPUTED_VALUE"""),"SAECardiacExperienceOutcome")</f>
        <v>SAECardiacExperienceOutcome</v>
      </c>
      <c r="N31" s="6" t="str">
        <f>IFERROR(__xludf.DUMMYFUNCTION("""COMPUTED_VALUE"""),"SAECardiacExperienceComment")</f>
        <v>SAECardiacExperienceComment</v>
      </c>
      <c r="O31" s="6" t="str">
        <f>IFERROR(__xludf.DUMMYFUNCTION("""COMPUTED_VALUE"""),"SAEMetabolicAcidosisOnsetDate")</f>
        <v>SAEMetabolicAcidosisOnsetDate</v>
      </c>
      <c r="P31" s="6" t="str">
        <f>IFERROR(__xludf.DUMMYFUNCTION("""COMPUTED_VALUE"""),"SAEMetabolicAcidosisOnsetTime")</f>
        <v>SAEMetabolicAcidosisOnsetTime</v>
      </c>
      <c r="Q31" s="6" t="str">
        <f>IFERROR(__xludf.DUMMYFUNCTION("""COMPUTED_VALUE"""),"SAEMetabolicAcidosisResolveDate")</f>
        <v>SAEMetabolicAcidosisResolveDate</v>
      </c>
      <c r="R31" s="6" t="str">
        <f>IFERROR(__xludf.DUMMYFUNCTION("""COMPUTED_VALUE"""),"SAEMetabolicAcidosisResolveTime")</f>
        <v>SAEMetabolicAcidosisResolveTime</v>
      </c>
      <c r="S31" s="6" t="str">
        <f>IFERROR(__xludf.DUMMYFUNCTION("""COMPUTED_VALUE"""),"SAEMetabolicAcidosisDueToHypothermia")</f>
        <v>SAEMetabolicAcidosisDueToHypothermia</v>
      </c>
      <c r="T31" s="6" t="str">
        <f>IFERROR(__xludf.DUMMYFUNCTION("""COMPUTED_VALUE"""),"SAEMetabolicAcidosisActionTaken")</f>
        <v>SAEMetabolicAcidosisActionTaken</v>
      </c>
      <c r="U31" s="6" t="str">
        <f>IFERROR(__xludf.DUMMYFUNCTION("""COMPUTED_VALUE"""),"SAEMetabolicAcidosisOutcome")</f>
        <v>SAEMetabolicAcidosisOutcome</v>
      </c>
      <c r="V31" s="6" t="str">
        <f>IFERROR(__xludf.DUMMYFUNCTION("""COMPUTED_VALUE"""),"SAEMetabolicAcidosisComment")</f>
        <v>SAEMetabolicAcidosisComment</v>
      </c>
      <c r="W31" s="6" t="str">
        <f>IFERROR(__xludf.DUMMYFUNCTION("""COMPUTED_VALUE"""),"SAEThrombosisExperienceOnsetDate")</f>
        <v>SAEThrombosisExperienceOnsetDate</v>
      </c>
      <c r="X31" s="6" t="str">
        <f>IFERROR(__xludf.DUMMYFUNCTION("""COMPUTED_VALUE"""),"SAEThrombosisExperienceOnsetTime")</f>
        <v>SAEThrombosisExperienceOnsetTime</v>
      </c>
      <c r="Y31" s="6" t="str">
        <f>IFERROR(__xludf.DUMMYFUNCTION("""COMPUTED_VALUE"""),"SAEThrombosisExperienceResolveDate")</f>
        <v>SAEThrombosisExperienceResolveDate</v>
      </c>
      <c r="Z31" s="6" t="str">
        <f>IFERROR(__xludf.DUMMYFUNCTION("""COMPUTED_VALUE"""),"SAEThrombosisExperienceResolveTime")</f>
        <v>SAEThrombosisExperienceResolveTime</v>
      </c>
      <c r="AA31" s="6" t="str">
        <f>IFERROR(__xludf.DUMMYFUNCTION("""COMPUTED_VALUE"""),"SAEThrombosisExperienceDueToHypothermia")</f>
        <v>SAEThrombosisExperienceDueToHypothermia</v>
      </c>
      <c r="AB31" s="6" t="str">
        <f>IFERROR(__xludf.DUMMYFUNCTION("""COMPUTED_VALUE"""),"SAEThrombosisExperienceActionTaken")</f>
        <v>SAEThrombosisExperienceActionTaken</v>
      </c>
      <c r="AC31" s="6" t="str">
        <f>IFERROR(__xludf.DUMMYFUNCTION("""COMPUTED_VALUE"""),"SAEThrombosisExperienceOutcome")</f>
        <v>SAEThrombosisExperienceOutcome</v>
      </c>
      <c r="AD31" s="6" t="str">
        <f>IFERROR(__xludf.DUMMYFUNCTION("""COMPUTED_VALUE"""),"SAEThrombosisExperienceComment")</f>
        <v>SAEThrombosisExperienceComment</v>
      </c>
      <c r="AE31" s="6" t="str">
        <f>IFERROR(__xludf.DUMMYFUNCTION("""COMPUTED_VALUE"""),"SAEBleedingExperienceOnsetDate")</f>
        <v>SAEBleedingExperienceOnsetDate</v>
      </c>
      <c r="AF31" s="6" t="str">
        <f>IFERROR(__xludf.DUMMYFUNCTION("""COMPUTED_VALUE"""),"SAEBleedingExperienceOnsetTime")</f>
        <v>SAEBleedingExperienceOnsetTime</v>
      </c>
      <c r="AG31" s="6" t="str">
        <f>IFERROR(__xludf.DUMMYFUNCTION("""COMPUTED_VALUE"""),"SAEBleedingExperienceResolveDate")</f>
        <v>SAEBleedingExperienceResolveDate</v>
      </c>
      <c r="AH31" s="6" t="str">
        <f>IFERROR(__xludf.DUMMYFUNCTION("""COMPUTED_VALUE"""),"SAEBleedingExperienceResolveTime")</f>
        <v>SAEBleedingExperienceResolveTime</v>
      </c>
      <c r="AI31" s="6" t="str">
        <f>IFERROR(__xludf.DUMMYFUNCTION("""COMPUTED_VALUE"""),"SAEBleedingExperienceDueToHypothermia")</f>
        <v>SAEBleedingExperienceDueToHypothermia</v>
      </c>
      <c r="AJ31" s="6" t="str">
        <f>IFERROR(__xludf.DUMMYFUNCTION("""COMPUTED_VALUE"""),"SAEBleedingExperienceActionTaken")</f>
        <v>SAEBleedingExperienceActionTaken</v>
      </c>
      <c r="AK31" s="6" t="str">
        <f>IFERROR(__xludf.DUMMYFUNCTION("""COMPUTED_VALUE"""),"SAEBleedingExperienceOutcome")</f>
        <v>SAEBleedingExperienceOutcome</v>
      </c>
      <c r="AL31" s="6" t="str">
        <f>IFERROR(__xludf.DUMMYFUNCTION("""COMPUTED_VALUE"""),"SAEBleedingExperienceComment")</f>
        <v>SAEBleedingExperienceComment</v>
      </c>
      <c r="AM31" s="6" t="str">
        <f>IFERROR(__xludf.DUMMYFUNCTION("""COMPUTED_VALUE"""),"SAEAlterationSkinIntegrity")</f>
        <v>SAEAlterationSkinIntegrity</v>
      </c>
      <c r="AN31" s="6" t="str">
        <f>IFERROR(__xludf.DUMMYFUNCTION("""COMPUTED_VALUE"""),"SAEAlterationSkinIntegrityOnsetDate")</f>
        <v>SAEAlterationSkinIntegrityOnsetDate</v>
      </c>
      <c r="AO31" s="6" t="str">
        <f>IFERROR(__xludf.DUMMYFUNCTION("""COMPUTED_VALUE"""),"SAEAlterationSkinIntegrityResolveDate")</f>
        <v>SAEAlterationSkinIntegrityResolveDate</v>
      </c>
      <c r="AP31" s="6" t="str">
        <f>IFERROR(__xludf.DUMMYFUNCTION("""COMPUTED_VALUE"""),"SAEAlterationSkinIntegrityDueToHypothermia")</f>
        <v>SAEAlterationSkinIntegrityDueToHypothermia</v>
      </c>
      <c r="AQ31" s="6" t="str">
        <f>IFERROR(__xludf.DUMMYFUNCTION("""COMPUTED_VALUE"""),"SAEAlterationSkinIntegrityActionTaken")</f>
        <v>SAEAlterationSkinIntegrityActionTaken</v>
      </c>
      <c r="AR31" s="6" t="str">
        <f>IFERROR(__xludf.DUMMYFUNCTION("""COMPUTED_VALUE"""),"SAEAlterationSkinIntegrityOutcome")</f>
        <v>SAEAlterationSkinIntegrityOutcome</v>
      </c>
      <c r="AS31" s="6" t="str">
        <f>IFERROR(__xludf.DUMMYFUNCTION("""COMPUTED_VALUE"""),"SAEAlterationSkinIntegrityComment")</f>
        <v>SAEAlterationSkinIntegrityComment</v>
      </c>
      <c r="AT31" s="6" t="str">
        <f>IFERROR(__xludf.DUMMYFUNCTION("""COMPUTED_VALUE"""),"SAEDeathDate")</f>
        <v>SAEDeathDate</v>
      </c>
      <c r="AU31" s="6" t="str">
        <f>IFERROR(__xludf.DUMMYFUNCTION("""COMPUTED_VALUE"""),"SAEDeathTime")</f>
        <v>SAEDeathTime</v>
      </c>
      <c r="AV31" s="6" t="str">
        <f>IFERROR(__xludf.DUMMYFUNCTION("""COMPUTED_VALUE"""),"SAEDeathDueToHypothermia")</f>
        <v>SAEDeathDueToHypothermia</v>
      </c>
      <c r="AW31" s="6" t="str">
        <f>IFERROR(__xludf.DUMMYFUNCTION("""COMPUTED_VALUE"""),"SAEDeathActionTaken")</f>
        <v>SAEDeathActionTaken</v>
      </c>
      <c r="AX31" s="6" t="str">
        <f>IFERROR(__xludf.DUMMYFUNCTION("""COMPUTED_VALUE"""),"SAEDeathOutcome")</f>
        <v>SAEDeathOutcome</v>
      </c>
      <c r="AY31" s="6" t="str">
        <f>IFERROR(__xludf.DUMMYFUNCTION("""COMPUTED_VALUE"""),"SAEDeathComment")</f>
        <v>SAEDeathComment</v>
      </c>
      <c r="AZ31" s="6" t="str">
        <f>IFERROR(__xludf.DUMMYFUNCTION("""COMPUTED_VALUE"""),"SAEOther")</f>
        <v>SAEOther</v>
      </c>
      <c r="BA31" s="6" t="str">
        <f>IFERROR(__xludf.DUMMYFUNCTION("""COMPUTED_VALUE"""),"SAEOtherOnsetDate")</f>
        <v>SAEOtherOnsetDate</v>
      </c>
      <c r="BB31" s="6" t="str">
        <f>IFERROR(__xludf.DUMMYFUNCTION("""COMPUTED_VALUE"""),"SAEOtherOnsetTime")</f>
        <v>SAEOtherOnsetTime</v>
      </c>
      <c r="BC31" s="6" t="str">
        <f>IFERROR(__xludf.DUMMYFUNCTION("""COMPUTED_VALUE"""),"SAEOtherResolveDate")</f>
        <v>SAEOtherResolveDate</v>
      </c>
      <c r="BD31" s="6" t="str">
        <f>IFERROR(__xludf.DUMMYFUNCTION("""COMPUTED_VALUE"""),"SAEOtherResolveTime")</f>
        <v>SAEOtherResolveTime</v>
      </c>
      <c r="BE31" s="6" t="str">
        <f>IFERROR(__xludf.DUMMYFUNCTION("""COMPUTED_VALUE"""),"SAEOtherDueToHypothermia")</f>
        <v>SAEOtherDueToHypothermia</v>
      </c>
      <c r="BF31" s="6" t="str">
        <f>IFERROR(__xludf.DUMMYFUNCTION("""COMPUTED_VALUE"""),"SAEOtherActionTaken")</f>
        <v>SAEOtherActionTaken</v>
      </c>
      <c r="BG31" s="6" t="str">
        <f>IFERROR(__xludf.DUMMYFUNCTION("""COMPUTED_VALUE"""),"SAEOtherOutcome")</f>
        <v>SAEOtherOutcome</v>
      </c>
      <c r="BH31" s="6" t="str">
        <f>IFERROR(__xludf.DUMMYFUNCTION("""COMPUTED_VALUE"""),"SAEOtherComment")</f>
        <v>SAEOtherComment</v>
      </c>
      <c r="BI31" s="6" t="str">
        <f>IFERROR(__xludf.DUMMYFUNCTION("""COMPUTED_VALUE"""),"]")</f>
        <v>]</v>
      </c>
    </row>
    <row r="32">
      <c r="A32" s="1" t="str">
        <f>'01-number of variables'!A32</f>
        <v>02-15-violation.csv</v>
      </c>
      <c r="B32" s="1">
        <f>'01-number of variables'!B32</f>
        <v>9</v>
      </c>
      <c r="C32" s="1" t="str">
        <f>'01-number of variables'!C32</f>
        <v>['violationNumber', 'violationDate', 'violationNature', 'violationTreatmentAssign', 'violationTreatmentReceive', 'violationOtherText', 'violationCircumstance', 'violationOtherCirumstanceText', 'violationComment']</v>
      </c>
      <c r="D32" s="1" t="str">
        <f>'01-number of variables'!D33</f>
        <v/>
      </c>
      <c r="E32" s="1" t="str">
        <f>IFERROR(__xludf.DUMMYFUNCTION("split(C32, ""', '"")"),"[")</f>
        <v>[</v>
      </c>
      <c r="F32" s="6" t="str">
        <f>IFERROR(__xludf.DUMMYFUNCTION("""COMPUTED_VALUE"""),"violationNumber")</f>
        <v>violationNumber</v>
      </c>
      <c r="G32" s="6" t="str">
        <f>IFERROR(__xludf.DUMMYFUNCTION("""COMPUTED_VALUE"""),"violationDate")</f>
        <v>violationDate</v>
      </c>
      <c r="H32" s="6" t="str">
        <f>IFERROR(__xludf.DUMMYFUNCTION("""COMPUTED_VALUE"""),"violationNature")</f>
        <v>violationNature</v>
      </c>
      <c r="I32" s="6" t="str">
        <f>IFERROR(__xludf.DUMMYFUNCTION("""COMPUTED_VALUE"""),"violationTreatmentAssign")</f>
        <v>violationTreatmentAssign</v>
      </c>
      <c r="J32" s="6" t="str">
        <f>IFERROR(__xludf.DUMMYFUNCTION("""COMPUTED_VALUE"""),"violationTreatmentReceive")</f>
        <v>violationTreatmentReceive</v>
      </c>
      <c r="K32" s="6" t="str">
        <f>IFERROR(__xludf.DUMMYFUNCTION("""COMPUTED_VALUE"""),"violationOtherText")</f>
        <v>violationOtherText</v>
      </c>
      <c r="L32" s="6" t="str">
        <f>IFERROR(__xludf.DUMMYFUNCTION("""COMPUTED_VALUE"""),"violationCircumstance")</f>
        <v>violationCircumstance</v>
      </c>
      <c r="M32" s="6" t="str">
        <f>IFERROR(__xludf.DUMMYFUNCTION("""COMPUTED_VALUE"""),"violationOtherCirumstanceText")</f>
        <v>violationOtherCirumstanceText</v>
      </c>
      <c r="N32" s="6" t="str">
        <f>IFERROR(__xludf.DUMMYFUNCTION("""COMPUTED_VALUE"""),"violationComment")</f>
        <v>violationComment</v>
      </c>
      <c r="O32" s="6" t="str">
        <f>IFERROR(__xludf.DUMMYFUNCTION("""COMPUTED_VALUE"""),"]")</f>
        <v>]</v>
      </c>
    </row>
    <row r="33">
      <c r="A33" s="1" t="str">
        <f>'01-number of variables'!A33</f>
        <v>02-16-interrupt.csv</v>
      </c>
      <c r="B33" s="1">
        <f>'01-number of variables'!B33</f>
        <v>9</v>
      </c>
      <c r="C33" s="1" t="str">
        <f>'01-number of variables'!C33</f>
        <v>['interruptNumber', 'interrupt', 'interruptReason', 'interruptReasonText', 'interruptDate', 'interruptTime', 'interruptRestartDate', 'interruptRestartTime', 'interruptRestartEsophagealTemperature_C']</v>
      </c>
      <c r="D33" s="1" t="str">
        <f>'01-number of variables'!D34</f>
        <v/>
      </c>
      <c r="E33" s="1" t="str">
        <f>IFERROR(__xludf.DUMMYFUNCTION("split(C33, ""', '"")"),"[")</f>
        <v>[</v>
      </c>
      <c r="F33" s="6" t="str">
        <f>IFERROR(__xludf.DUMMYFUNCTION("""COMPUTED_VALUE"""),"interruptNumber")</f>
        <v>interruptNumber</v>
      </c>
      <c r="G33" s="6" t="str">
        <f>IFERROR(__xludf.DUMMYFUNCTION("""COMPUTED_VALUE"""),"interrupt")</f>
        <v>interrupt</v>
      </c>
      <c r="H33" s="6" t="str">
        <f>IFERROR(__xludf.DUMMYFUNCTION("""COMPUTED_VALUE"""),"interruptReason")</f>
        <v>interruptReason</v>
      </c>
      <c r="I33" s="6" t="str">
        <f>IFERROR(__xludf.DUMMYFUNCTION("""COMPUTED_VALUE"""),"interruptReasonText")</f>
        <v>interruptReasonText</v>
      </c>
      <c r="J33" s="6" t="str">
        <f>IFERROR(__xludf.DUMMYFUNCTION("""COMPUTED_VALUE"""),"interruptDate")</f>
        <v>interruptDate</v>
      </c>
      <c r="K33" s="6" t="str">
        <f>IFERROR(__xludf.DUMMYFUNCTION("""COMPUTED_VALUE"""),"interruptTime")</f>
        <v>interruptTime</v>
      </c>
      <c r="L33" s="6" t="str">
        <f>IFERROR(__xludf.DUMMYFUNCTION("""COMPUTED_VALUE"""),"interruptRestartDate")</f>
        <v>interruptRestartDate</v>
      </c>
      <c r="M33" s="6" t="str">
        <f>IFERROR(__xludf.DUMMYFUNCTION("""COMPUTED_VALUE"""),"interruptRestartTime")</f>
        <v>interruptRestartTime</v>
      </c>
      <c r="N33" s="6" t="str">
        <f>IFERROR(__xludf.DUMMYFUNCTION("""COMPUTED_VALUE"""),"interruptRestartEsophagealTemperature_C")</f>
        <v>interruptRestartEsophagealTemperature_C</v>
      </c>
      <c r="O33" s="6" t="str">
        <f>IFERROR(__xludf.DUMMYFUNCTION("""COMPUTED_VALUE"""),"]")</f>
        <v>]</v>
      </c>
    </row>
    <row r="34">
      <c r="A34" s="1" t="str">
        <f>'01-number of variables'!A34</f>
        <v>02-17-discontinue.csv</v>
      </c>
      <c r="B34" s="1">
        <f>'01-number of variables'!B34</f>
        <v>12</v>
      </c>
      <c r="C34" s="1" t="str">
        <f>'01-number of variables'!C34</f>
        <v>['discontinueDate', 'discontinueTime', 'discontinueBeforeEndPeriod', 'discontinueParentsWithdraw', 'discontinuePhysicianWithdraw', 'discontinueAdverseEvent', 'discontinueECMO', 'discontinueDNR', 'discontinueWdrawSupport', 'discontinueDeath', 'discontinueOther', 'discontinueOtherText']</v>
      </c>
      <c r="D34" s="1" t="str">
        <f>'01-number of variables'!D35</f>
        <v/>
      </c>
      <c r="E34" s="1" t="str">
        <f>IFERROR(__xludf.DUMMYFUNCTION("split(C34, ""', '"")"),"[")</f>
        <v>[</v>
      </c>
      <c r="F34" s="6" t="str">
        <f>IFERROR(__xludf.DUMMYFUNCTION("""COMPUTED_VALUE"""),"discontinueDate")</f>
        <v>discontinueDate</v>
      </c>
      <c r="G34" s="6" t="str">
        <f>IFERROR(__xludf.DUMMYFUNCTION("""COMPUTED_VALUE"""),"discontinueTime")</f>
        <v>discontinueTime</v>
      </c>
      <c r="H34" s="6" t="str">
        <f>IFERROR(__xludf.DUMMYFUNCTION("""COMPUTED_VALUE"""),"discontinueBeforeEndPeriod")</f>
        <v>discontinueBeforeEndPeriod</v>
      </c>
      <c r="I34" s="6" t="str">
        <f>IFERROR(__xludf.DUMMYFUNCTION("""COMPUTED_VALUE"""),"discontinueParentsWithdraw")</f>
        <v>discontinueParentsWithdraw</v>
      </c>
      <c r="J34" s="6" t="str">
        <f>IFERROR(__xludf.DUMMYFUNCTION("""COMPUTED_VALUE"""),"discontinuePhysicianWithdraw")</f>
        <v>discontinuePhysicianWithdraw</v>
      </c>
      <c r="K34" s="6" t="str">
        <f>IFERROR(__xludf.DUMMYFUNCTION("""COMPUTED_VALUE"""),"discontinueAdverseEvent")</f>
        <v>discontinueAdverseEvent</v>
      </c>
      <c r="L34" s="6" t="str">
        <f>IFERROR(__xludf.DUMMYFUNCTION("""COMPUTED_VALUE"""),"discontinueECMO")</f>
        <v>discontinueECMO</v>
      </c>
      <c r="M34" s="6" t="str">
        <f>IFERROR(__xludf.DUMMYFUNCTION("""COMPUTED_VALUE"""),"discontinueDNR")</f>
        <v>discontinueDNR</v>
      </c>
      <c r="N34" s="6" t="str">
        <f>IFERROR(__xludf.DUMMYFUNCTION("""COMPUTED_VALUE"""),"discontinueWdrawSupport")</f>
        <v>discontinueWdrawSupport</v>
      </c>
      <c r="O34" s="6" t="str">
        <f>IFERROR(__xludf.DUMMYFUNCTION("""COMPUTED_VALUE"""),"discontinueDeath")</f>
        <v>discontinueDeath</v>
      </c>
      <c r="P34" s="6" t="str">
        <f>IFERROR(__xludf.DUMMYFUNCTION("""COMPUTED_VALUE"""),"discontinueOther")</f>
        <v>discontinueOther</v>
      </c>
      <c r="Q34" s="6" t="str">
        <f>IFERROR(__xludf.DUMMYFUNCTION("""COMPUTED_VALUE"""),"discontinueOtherText")</f>
        <v>discontinueOtherText</v>
      </c>
      <c r="R34" s="6" t="str">
        <f>IFERROR(__xludf.DUMMYFUNCTION("""COMPUTED_VALUE"""),"]")</f>
        <v>]</v>
      </c>
    </row>
    <row r="35">
      <c r="A35" s="1" t="str">
        <f>'01-number of variables'!A35</f>
        <v>03-01-post-temperature.csv</v>
      </c>
      <c r="B35" s="1">
        <f>'01-number of variables'!B35</f>
        <v>7</v>
      </c>
      <c r="C35" s="1" t="str">
        <f>'01-number of variables'!C35</f>
        <v>['post_TemperatureTimeSlot_day', 'post_TemperatureDate', 'post_TemperatureTime', 'post_SkinTemperature_C', 'post_AxillaryTemperature_C', 'post_AlterationSkinIntegrity', 'post_Shiver']</v>
      </c>
      <c r="D35" s="1" t="str">
        <f>'01-number of variables'!D36</f>
        <v/>
      </c>
      <c r="E35" s="1" t="str">
        <f>IFERROR(__xludf.DUMMYFUNCTION("split(C35, ""', '"")"),"[")</f>
        <v>[</v>
      </c>
      <c r="F35" s="6" t="str">
        <f>IFERROR(__xludf.DUMMYFUNCTION("""COMPUTED_VALUE"""),"post_TemperatureTimeSlot_day")</f>
        <v>post_TemperatureTimeSlot_day</v>
      </c>
      <c r="G35" s="6" t="str">
        <f>IFERROR(__xludf.DUMMYFUNCTION("""COMPUTED_VALUE"""),"post_TemperatureDate")</f>
        <v>post_TemperatureDate</v>
      </c>
      <c r="H35" s="6" t="str">
        <f>IFERROR(__xludf.DUMMYFUNCTION("""COMPUTED_VALUE"""),"post_TemperatureTime")</f>
        <v>post_TemperatureTime</v>
      </c>
      <c r="I35" s="6" t="str">
        <f>IFERROR(__xludf.DUMMYFUNCTION("""COMPUTED_VALUE"""),"post_SkinTemperature_C")</f>
        <v>post_SkinTemperature_C</v>
      </c>
      <c r="J35" s="6" t="str">
        <f>IFERROR(__xludf.DUMMYFUNCTION("""COMPUTED_VALUE"""),"post_AxillaryTemperature_C")</f>
        <v>post_AxillaryTemperature_C</v>
      </c>
      <c r="K35" s="6" t="str">
        <f>IFERROR(__xludf.DUMMYFUNCTION("""COMPUTED_VALUE"""),"post_AlterationSkinIntegrity")</f>
        <v>post_AlterationSkinIntegrity</v>
      </c>
      <c r="L35" s="6" t="str">
        <f>IFERROR(__xludf.DUMMYFUNCTION("""COMPUTED_VALUE"""),"post_Shiver")</f>
        <v>post_Shiver</v>
      </c>
      <c r="M35" s="6" t="str">
        <f>IFERROR(__xludf.DUMMYFUNCTION("""COMPUTED_VALUE"""),"]")</f>
        <v>]</v>
      </c>
    </row>
    <row r="36">
      <c r="A36" s="1" t="str">
        <f>'01-number of variables'!A36</f>
        <v>03-01_s-post-temperature.csv</v>
      </c>
      <c r="B36" s="1">
        <f>'01-number of variables'!B36</f>
        <v>7</v>
      </c>
      <c r="C36" s="1" t="str">
        <f>'01-number of variables'!C36</f>
        <v>['normothermiaAtEndIntervention', 'normothermiaDate', 'normothermiaTime', 'normothermiaAxillaryTemperature_C', 'noNormothermiaReason', 'coolAfterIntervention', 'coolAfterInterventionText']</v>
      </c>
      <c r="D36" s="1" t="str">
        <f>'01-number of variables'!D37</f>
        <v/>
      </c>
      <c r="E36" s="1" t="str">
        <f>IFERROR(__xludf.DUMMYFUNCTION("split(C36, ""', '"")"),"[")</f>
        <v>[</v>
      </c>
      <c r="F36" s="6" t="str">
        <f>IFERROR(__xludf.DUMMYFUNCTION("""COMPUTED_VALUE"""),"normothermiaAtEndIntervention")</f>
        <v>normothermiaAtEndIntervention</v>
      </c>
      <c r="G36" s="6" t="str">
        <f>IFERROR(__xludf.DUMMYFUNCTION("""COMPUTED_VALUE"""),"normothermiaDate")</f>
        <v>normothermiaDate</v>
      </c>
      <c r="H36" s="6" t="str">
        <f>IFERROR(__xludf.DUMMYFUNCTION("""COMPUTED_VALUE"""),"normothermiaTime")</f>
        <v>normothermiaTime</v>
      </c>
      <c r="I36" s="6" t="str">
        <f>IFERROR(__xludf.DUMMYFUNCTION("""COMPUTED_VALUE"""),"normothermiaAxillaryTemperature_C")</f>
        <v>normothermiaAxillaryTemperature_C</v>
      </c>
      <c r="J36" s="6" t="str">
        <f>IFERROR(__xludf.DUMMYFUNCTION("""COMPUTED_VALUE"""),"noNormothermiaReason")</f>
        <v>noNormothermiaReason</v>
      </c>
      <c r="K36" s="6" t="str">
        <f>IFERROR(__xludf.DUMMYFUNCTION("""COMPUTED_VALUE"""),"coolAfterIntervention")</f>
        <v>coolAfterIntervention</v>
      </c>
      <c r="L36" s="6" t="str">
        <f>IFERROR(__xludf.DUMMYFUNCTION("""COMPUTED_VALUE"""),"coolAfterInterventionText")</f>
        <v>coolAfterInterventionText</v>
      </c>
      <c r="M36" s="6" t="str">
        <f>IFERROR(__xludf.DUMMYFUNCTION("""COMPUTED_VALUE"""),"]")</f>
        <v>]</v>
      </c>
    </row>
    <row r="37">
      <c r="A37" s="1" t="str">
        <f>'01-number of variables'!A37</f>
        <v>03-02-post-blood-value.csv</v>
      </c>
      <c r="B37" s="1">
        <f>'01-number of variables'!B37</f>
        <v>6</v>
      </c>
      <c r="C37" s="1" t="str">
        <f>'01-number of variables'!C37</f>
        <v>['post_BloodValueASTSGOT_UPerL', 'post_BloodValueASTSGOT_UPerLDate', 'post_BloodValueALTSGPT_UPerL', 'post_BloodValueALTSGPT_UPerLDate', 'post_BloodValueTotalBilirubin_mgPerdL', 'post_BloodValueTotalBilirubin_mgPerdLDate']</v>
      </c>
      <c r="D37" s="1" t="str">
        <f>'01-number of variables'!D38</f>
        <v/>
      </c>
      <c r="E37" s="1" t="str">
        <f>IFERROR(__xludf.DUMMYFUNCTION("split(C37, ""', '"")"),"[")</f>
        <v>[</v>
      </c>
      <c r="F37" s="6" t="str">
        <f>IFERROR(__xludf.DUMMYFUNCTION("""COMPUTED_VALUE"""),"post_BloodValueASTSGOT_UPerL")</f>
        <v>post_BloodValueASTSGOT_UPerL</v>
      </c>
      <c r="G37" s="6" t="str">
        <f>IFERROR(__xludf.DUMMYFUNCTION("""COMPUTED_VALUE"""),"post_BloodValueASTSGOT_UPerLDate")</f>
        <v>post_BloodValueASTSGOT_UPerLDate</v>
      </c>
      <c r="H37" s="6" t="str">
        <f>IFERROR(__xludf.DUMMYFUNCTION("""COMPUTED_VALUE"""),"post_BloodValueALTSGPT_UPerL")</f>
        <v>post_BloodValueALTSGPT_UPerL</v>
      </c>
      <c r="I37" s="6" t="str">
        <f>IFERROR(__xludf.DUMMYFUNCTION("""COMPUTED_VALUE"""),"post_BloodValueALTSGPT_UPerLDate")</f>
        <v>post_BloodValueALTSGPT_UPerLDate</v>
      </c>
      <c r="J37" s="6" t="str">
        <f>IFERROR(__xludf.DUMMYFUNCTION("""COMPUTED_VALUE"""),"post_BloodValueTotalBilirubin_mgPerdL")</f>
        <v>post_BloodValueTotalBilirubin_mgPerdL</v>
      </c>
      <c r="K37" s="6" t="str">
        <f>IFERROR(__xludf.DUMMYFUNCTION("""COMPUTED_VALUE"""),"post_BloodValueTotalBilirubin_mgPerdLDate")</f>
        <v>post_BloodValueTotalBilirubin_mgPerdLDate</v>
      </c>
      <c r="L37" s="6" t="str">
        <f>IFERROR(__xludf.DUMMYFUNCTION("""COMPUTED_VALUE"""),"]")</f>
        <v>]</v>
      </c>
    </row>
    <row r="38">
      <c r="A38" s="1" t="str">
        <f>'01-number of variables'!A38</f>
        <v>03-03-post-imaging.csv</v>
      </c>
      <c r="B38" s="1">
        <f>'01-number of variables'!B38</f>
        <v>15</v>
      </c>
      <c r="C38" s="1" t="str">
        <f>'01-number of variables'!C38</f>
        <v>['post_HeadSonogram', 'post_HeadSonogramDate', 'post_HeadSonogramTime', 'post_HeadSonogramResult1', 'post_HeadSonogramResultText', 'post_HeadCT', 'post_HeadCTDate', 'post_HeadCTTime', 'post_HeadCTResult1', 'post_HeadCTResultText', 'post_BrainMRI', 'post_BrainMRIDate', 'post_BrainMRITime', 'post_BrainMRIResult1', 'post_BrainMRIResultText']</v>
      </c>
      <c r="D38" s="1" t="str">
        <f>'01-number of variables'!D39</f>
        <v/>
      </c>
      <c r="E38" s="1" t="str">
        <f>IFERROR(__xludf.DUMMYFUNCTION("split(C38, ""', '"")"),"[")</f>
        <v>[</v>
      </c>
      <c r="F38" s="6" t="str">
        <f>IFERROR(__xludf.DUMMYFUNCTION("""COMPUTED_VALUE"""),"post_HeadSonogram")</f>
        <v>post_HeadSonogram</v>
      </c>
      <c r="G38" s="6" t="str">
        <f>IFERROR(__xludf.DUMMYFUNCTION("""COMPUTED_VALUE"""),"post_HeadSonogramDate")</f>
        <v>post_HeadSonogramDate</v>
      </c>
      <c r="H38" s="6" t="str">
        <f>IFERROR(__xludf.DUMMYFUNCTION("""COMPUTED_VALUE"""),"post_HeadSonogramTime")</f>
        <v>post_HeadSonogramTime</v>
      </c>
      <c r="I38" s="6" t="str">
        <f>IFERROR(__xludf.DUMMYFUNCTION("""COMPUTED_VALUE"""),"post_HeadSonogramResult1")</f>
        <v>post_HeadSonogramResult1</v>
      </c>
      <c r="J38" s="6" t="str">
        <f>IFERROR(__xludf.DUMMYFUNCTION("""COMPUTED_VALUE"""),"post_HeadSonogramResultText")</f>
        <v>post_HeadSonogramResultText</v>
      </c>
      <c r="K38" s="6" t="str">
        <f>IFERROR(__xludf.DUMMYFUNCTION("""COMPUTED_VALUE"""),"post_HeadCT")</f>
        <v>post_HeadCT</v>
      </c>
      <c r="L38" s="6" t="str">
        <f>IFERROR(__xludf.DUMMYFUNCTION("""COMPUTED_VALUE"""),"post_HeadCTDate")</f>
        <v>post_HeadCTDate</v>
      </c>
      <c r="M38" s="6" t="str">
        <f>IFERROR(__xludf.DUMMYFUNCTION("""COMPUTED_VALUE"""),"post_HeadCTTime")</f>
        <v>post_HeadCTTime</v>
      </c>
      <c r="N38" s="6" t="str">
        <f>IFERROR(__xludf.DUMMYFUNCTION("""COMPUTED_VALUE"""),"post_HeadCTResult1")</f>
        <v>post_HeadCTResult1</v>
      </c>
      <c r="O38" s="6" t="str">
        <f>IFERROR(__xludf.DUMMYFUNCTION("""COMPUTED_VALUE"""),"post_HeadCTResultText")</f>
        <v>post_HeadCTResultText</v>
      </c>
      <c r="P38" s="6" t="str">
        <f>IFERROR(__xludf.DUMMYFUNCTION("""COMPUTED_VALUE"""),"post_BrainMRI")</f>
        <v>post_BrainMRI</v>
      </c>
      <c r="Q38" s="6" t="str">
        <f>IFERROR(__xludf.DUMMYFUNCTION("""COMPUTED_VALUE"""),"post_BrainMRIDate")</f>
        <v>post_BrainMRIDate</v>
      </c>
      <c r="R38" s="6" t="str">
        <f>IFERROR(__xludf.DUMMYFUNCTION("""COMPUTED_VALUE"""),"post_BrainMRITime")</f>
        <v>post_BrainMRITime</v>
      </c>
      <c r="S38" s="6" t="str">
        <f>IFERROR(__xludf.DUMMYFUNCTION("""COMPUTED_VALUE"""),"post_BrainMRIResult1")</f>
        <v>post_BrainMRIResult1</v>
      </c>
      <c r="T38" s="6" t="str">
        <f>IFERROR(__xludf.DUMMYFUNCTION("""COMPUTED_VALUE"""),"post_BrainMRIResultText")</f>
        <v>post_BrainMRIResultText</v>
      </c>
      <c r="U38" s="6" t="str">
        <f>IFERROR(__xludf.DUMMYFUNCTION("""COMPUTED_VALUE"""),"]")</f>
        <v>]</v>
      </c>
    </row>
    <row r="39">
      <c r="A39" s="1" t="str">
        <f>'01-number of variables'!A39</f>
        <v>03-04-post-neuro-exam.csv</v>
      </c>
      <c r="B39" s="1">
        <f>'01-number of variables'!B39</f>
        <v>19</v>
      </c>
      <c r="C39" s="1" t="str">
        <f>'01-number of variables'!C39</f>
        <v>['post_NeuroExamDate', 'post_NeuroExamTime', 'post_NeuroExamLevelConsciousness', 'post_NeuroExamSpontaneousActivity', 'post_NeuroExamPosture', 'post_NeuroExamTone', 'post_NeuroExamSuck', 'post_NeuroExamMoro', 'post_NeuroExamPupils', 'post_NeuroExamHeartRate', 'post_NeuroExamRespiration', 'post_NeuroExamSeizure', 'post_NeuroExamSedate', 'post_NeuroExamClonusSustained', 'post_NeuroExamFistedHand', 'post_NeuroExamAbnormalMovement', 'post_NeuroExamGagReflexAbsent', 'post_NeuroExamHypertonia', 'post_NeuroExamAsymTonicNeckReflex']</v>
      </c>
      <c r="D39" s="1" t="str">
        <f>'01-number of variables'!D40</f>
        <v/>
      </c>
      <c r="E39" s="1" t="str">
        <f>IFERROR(__xludf.DUMMYFUNCTION("split(C39, ""', '"")"),"[")</f>
        <v>[</v>
      </c>
      <c r="F39" s="6" t="str">
        <f>IFERROR(__xludf.DUMMYFUNCTION("""COMPUTED_VALUE"""),"post_NeuroExamDate")</f>
        <v>post_NeuroExamDate</v>
      </c>
      <c r="G39" s="6" t="str">
        <f>IFERROR(__xludf.DUMMYFUNCTION("""COMPUTED_VALUE"""),"post_NeuroExamTime")</f>
        <v>post_NeuroExamTime</v>
      </c>
      <c r="H39" s="6" t="str">
        <f>IFERROR(__xludf.DUMMYFUNCTION("""COMPUTED_VALUE"""),"post_NeuroExamLevelConsciousness")</f>
        <v>post_NeuroExamLevelConsciousness</v>
      </c>
      <c r="I39" s="6" t="str">
        <f>IFERROR(__xludf.DUMMYFUNCTION("""COMPUTED_VALUE"""),"post_NeuroExamSpontaneousActivity")</f>
        <v>post_NeuroExamSpontaneousActivity</v>
      </c>
      <c r="J39" s="6" t="str">
        <f>IFERROR(__xludf.DUMMYFUNCTION("""COMPUTED_VALUE"""),"post_NeuroExamPosture")</f>
        <v>post_NeuroExamPosture</v>
      </c>
      <c r="K39" s="6" t="str">
        <f>IFERROR(__xludf.DUMMYFUNCTION("""COMPUTED_VALUE"""),"post_NeuroExamTone")</f>
        <v>post_NeuroExamTone</v>
      </c>
      <c r="L39" s="6" t="str">
        <f>IFERROR(__xludf.DUMMYFUNCTION("""COMPUTED_VALUE"""),"post_NeuroExamSuck")</f>
        <v>post_NeuroExamSuck</v>
      </c>
      <c r="M39" s="6" t="str">
        <f>IFERROR(__xludf.DUMMYFUNCTION("""COMPUTED_VALUE"""),"post_NeuroExamMoro")</f>
        <v>post_NeuroExamMoro</v>
      </c>
      <c r="N39" s="6" t="str">
        <f>IFERROR(__xludf.DUMMYFUNCTION("""COMPUTED_VALUE"""),"post_NeuroExamPupils")</f>
        <v>post_NeuroExamPupils</v>
      </c>
      <c r="O39" s="6" t="str">
        <f>IFERROR(__xludf.DUMMYFUNCTION("""COMPUTED_VALUE"""),"post_NeuroExamHeartRate")</f>
        <v>post_NeuroExamHeartRate</v>
      </c>
      <c r="P39" s="6" t="str">
        <f>IFERROR(__xludf.DUMMYFUNCTION("""COMPUTED_VALUE"""),"post_NeuroExamRespiration")</f>
        <v>post_NeuroExamRespiration</v>
      </c>
      <c r="Q39" s="6" t="str">
        <f>IFERROR(__xludf.DUMMYFUNCTION("""COMPUTED_VALUE"""),"post_NeuroExamSeizure")</f>
        <v>post_NeuroExamSeizure</v>
      </c>
      <c r="R39" s="6" t="str">
        <f>IFERROR(__xludf.DUMMYFUNCTION("""COMPUTED_VALUE"""),"post_NeuroExamSedate")</f>
        <v>post_NeuroExamSedate</v>
      </c>
      <c r="S39" s="6" t="str">
        <f>IFERROR(__xludf.DUMMYFUNCTION("""COMPUTED_VALUE"""),"post_NeuroExamClonusSustained")</f>
        <v>post_NeuroExamClonusSustained</v>
      </c>
      <c r="T39" s="6" t="str">
        <f>IFERROR(__xludf.DUMMYFUNCTION("""COMPUTED_VALUE"""),"post_NeuroExamFistedHand")</f>
        <v>post_NeuroExamFistedHand</v>
      </c>
      <c r="U39" s="6" t="str">
        <f>IFERROR(__xludf.DUMMYFUNCTION("""COMPUTED_VALUE"""),"post_NeuroExamAbnormalMovement")</f>
        <v>post_NeuroExamAbnormalMovement</v>
      </c>
      <c r="V39" s="6" t="str">
        <f>IFERROR(__xludf.DUMMYFUNCTION("""COMPUTED_VALUE"""),"post_NeuroExamGagReflexAbsent")</f>
        <v>post_NeuroExamGagReflexAbsent</v>
      </c>
      <c r="W39" s="6" t="str">
        <f>IFERROR(__xludf.DUMMYFUNCTION("""COMPUTED_VALUE"""),"post_NeuroExamHypertonia")</f>
        <v>post_NeuroExamHypertonia</v>
      </c>
      <c r="X39" s="6" t="str">
        <f>IFERROR(__xludf.DUMMYFUNCTION("""COMPUTED_VALUE"""),"post_NeuroExamAsymTonicNeckReflex")</f>
        <v>post_NeuroExamAsymTonicNeckReflex</v>
      </c>
      <c r="Y39" s="6" t="str">
        <f>IFERROR(__xludf.DUMMYFUNCTION("""COMPUTED_VALUE"""),"]")</f>
        <v>]</v>
      </c>
    </row>
    <row r="40">
      <c r="A40" s="1" t="str">
        <f>'01-number of variables'!A40</f>
        <v>03-04_1-total-modified-sarnat.csv</v>
      </c>
      <c r="B40" s="1">
        <f>'01-number of variables'!B40</f>
        <v>3</v>
      </c>
      <c r="C40" s="1" t="str">
        <f>'01-number of variables'!C40</f>
        <v>['post_NeuroExamReflexScore', 'post_NeuroExamANSScore', 'post_TotalModifiedSarnatScore']</v>
      </c>
      <c r="D40" s="1" t="str">
        <f>'01-number of variables'!D41</f>
        <v/>
      </c>
      <c r="E40" s="1" t="str">
        <f>IFERROR(__xludf.DUMMYFUNCTION("split(C40, ""', '"")"),"[")</f>
        <v>[</v>
      </c>
      <c r="F40" s="6" t="str">
        <f>IFERROR(__xludf.DUMMYFUNCTION("""COMPUTED_VALUE"""),"post_NeuroExamReflexScore")</f>
        <v>post_NeuroExamReflexScore</v>
      </c>
      <c r="G40" s="6" t="str">
        <f>IFERROR(__xludf.DUMMYFUNCTION("""COMPUTED_VALUE"""),"post_NeuroExamANSScore")</f>
        <v>post_NeuroExamANSScore</v>
      </c>
      <c r="H40" s="6" t="str">
        <f>IFERROR(__xludf.DUMMYFUNCTION("""COMPUTED_VALUE"""),"post_TotalModifiedSarnatScore")</f>
        <v>post_TotalModifiedSarnatScore</v>
      </c>
      <c r="I40" s="6" t="str">
        <f>IFERROR(__xludf.DUMMYFUNCTION("""COMPUTED_VALUE"""),"]")</f>
        <v>]</v>
      </c>
    </row>
    <row r="41">
      <c r="A41" s="1" t="str">
        <f>'01-number of variables'!A41</f>
        <v>03-05-mri.csv</v>
      </c>
      <c r="B41" s="1">
        <f>'01-number of variables'!B41</f>
        <v>55</v>
      </c>
      <c r="C41" s="1" t="str">
        <f>'01-number of variables'!C41</f>
        <v>['siteID', 'MRIIncrement', 'MRIID', 'MRIStrength_T', 'MRIAdequateQuality', 'MRIT1Axial', 'MRIT1Coronal', 'MRIT1Sagittal', 'MRIT1', 'MRIT2Axial', 'MRIT2Coronal', 'MRIT2Sagittal', 'MRIT2', 'MRIT2FLAIRAxial', 'MRIT2FLAIRCoronal', 'MRIT2FLAIRSagittal', 'MRIT2FLAIR', 'MRIGRESWIAxial', 'MRIGRESWICoronal', 'MRIGRESWISagittal', 'MRIGRESWI', 'MRISPGRAxial', 'MRISPGRCoronal', 'MRISPGRSagittal', 'MRISPGR', 'MRIDWI', 'MRIADC', 'MRIMRS', 'MRIOther', 'MRIOtherText', 'MRIOverallDiagnosis', 'MRIOverallDiagnosisText', 'MRIAbnormal', 'MRICerebralAtrophy', 'MRICerebralAtrophyGlobalLocal', 'MRICerebralAtrophyRegion', 'MRICerebralAtrophyQualAssessCC', 'MRICerebralAtrophyQualAssessVDLeft', 'MRICerebralAtrophyQualAssessVDRight', 'MRIInfarction', 'MRIInfarctionArterialTerritoryLeft', 'MRIInfarctionArterialTerritoryRight', 'MRIInfarctionWatershedLeft', 'MRIInfarctionWatershedRight', 'MRIMidlineShift', 'MRIBGT', 'MRIPLIC', 'MRIALIC', 'MRIWatershed', 'MRIWhiteMatterInjury', 'MRIFocalCorticalInjury', 'MRINRNPatternOfInjuryExtent', 'MRINRNPatternOfInjuryLateral', 'MRIComment', 'MRINRNPatternOfInjury']</v>
      </c>
      <c r="D41" s="1" t="str">
        <f>'01-number of variables'!D42</f>
        <v/>
      </c>
      <c r="E41" s="1" t="str">
        <f>IFERROR(__xludf.DUMMYFUNCTION("split(C41, ""', '"")"),"[")</f>
        <v>[</v>
      </c>
      <c r="F41" s="6" t="str">
        <f>IFERROR(__xludf.DUMMYFUNCTION("""COMPUTED_VALUE"""),"siteID")</f>
        <v>siteID</v>
      </c>
      <c r="G41" s="6" t="str">
        <f>IFERROR(__xludf.DUMMYFUNCTION("""COMPUTED_VALUE"""),"MRIIncrement")</f>
        <v>MRIIncrement</v>
      </c>
      <c r="H41" s="6" t="str">
        <f>IFERROR(__xludf.DUMMYFUNCTION("""COMPUTED_VALUE"""),"MRIID")</f>
        <v>MRIID</v>
      </c>
      <c r="I41" s="6" t="str">
        <f>IFERROR(__xludf.DUMMYFUNCTION("""COMPUTED_VALUE"""),"MRIStrength_T")</f>
        <v>MRIStrength_T</v>
      </c>
      <c r="J41" s="6" t="str">
        <f>IFERROR(__xludf.DUMMYFUNCTION("""COMPUTED_VALUE"""),"MRIAdequateQuality")</f>
        <v>MRIAdequateQuality</v>
      </c>
      <c r="K41" s="6" t="str">
        <f>IFERROR(__xludf.DUMMYFUNCTION("""COMPUTED_VALUE"""),"MRIT1Axial")</f>
        <v>MRIT1Axial</v>
      </c>
      <c r="L41" s="6" t="str">
        <f>IFERROR(__xludf.DUMMYFUNCTION("""COMPUTED_VALUE"""),"MRIT1Coronal")</f>
        <v>MRIT1Coronal</v>
      </c>
      <c r="M41" s="6" t="str">
        <f>IFERROR(__xludf.DUMMYFUNCTION("""COMPUTED_VALUE"""),"MRIT1Sagittal")</f>
        <v>MRIT1Sagittal</v>
      </c>
      <c r="N41" s="6" t="str">
        <f>IFERROR(__xludf.DUMMYFUNCTION("""COMPUTED_VALUE"""),"MRIT1")</f>
        <v>MRIT1</v>
      </c>
      <c r="O41" s="6" t="str">
        <f>IFERROR(__xludf.DUMMYFUNCTION("""COMPUTED_VALUE"""),"MRIT2Axial")</f>
        <v>MRIT2Axial</v>
      </c>
      <c r="P41" s="6" t="str">
        <f>IFERROR(__xludf.DUMMYFUNCTION("""COMPUTED_VALUE"""),"MRIT2Coronal")</f>
        <v>MRIT2Coronal</v>
      </c>
      <c r="Q41" s="6" t="str">
        <f>IFERROR(__xludf.DUMMYFUNCTION("""COMPUTED_VALUE"""),"MRIT2Sagittal")</f>
        <v>MRIT2Sagittal</v>
      </c>
      <c r="R41" s="6" t="str">
        <f>IFERROR(__xludf.DUMMYFUNCTION("""COMPUTED_VALUE"""),"MRIT2")</f>
        <v>MRIT2</v>
      </c>
      <c r="S41" s="6" t="str">
        <f>IFERROR(__xludf.DUMMYFUNCTION("""COMPUTED_VALUE"""),"MRIT2FLAIRAxial")</f>
        <v>MRIT2FLAIRAxial</v>
      </c>
      <c r="T41" s="6" t="str">
        <f>IFERROR(__xludf.DUMMYFUNCTION("""COMPUTED_VALUE"""),"MRIT2FLAIRCoronal")</f>
        <v>MRIT2FLAIRCoronal</v>
      </c>
      <c r="U41" s="6" t="str">
        <f>IFERROR(__xludf.DUMMYFUNCTION("""COMPUTED_VALUE"""),"MRIT2FLAIRSagittal")</f>
        <v>MRIT2FLAIRSagittal</v>
      </c>
      <c r="V41" s="6" t="str">
        <f>IFERROR(__xludf.DUMMYFUNCTION("""COMPUTED_VALUE"""),"MRIT2FLAIR")</f>
        <v>MRIT2FLAIR</v>
      </c>
      <c r="W41" s="6" t="str">
        <f>IFERROR(__xludf.DUMMYFUNCTION("""COMPUTED_VALUE"""),"MRIGRESWIAxial")</f>
        <v>MRIGRESWIAxial</v>
      </c>
      <c r="X41" s="6" t="str">
        <f>IFERROR(__xludf.DUMMYFUNCTION("""COMPUTED_VALUE"""),"MRIGRESWICoronal")</f>
        <v>MRIGRESWICoronal</v>
      </c>
      <c r="Y41" s="6" t="str">
        <f>IFERROR(__xludf.DUMMYFUNCTION("""COMPUTED_VALUE"""),"MRIGRESWISagittal")</f>
        <v>MRIGRESWISagittal</v>
      </c>
      <c r="Z41" s="6" t="str">
        <f>IFERROR(__xludf.DUMMYFUNCTION("""COMPUTED_VALUE"""),"MRIGRESWI")</f>
        <v>MRIGRESWI</v>
      </c>
      <c r="AA41" s="6" t="str">
        <f>IFERROR(__xludf.DUMMYFUNCTION("""COMPUTED_VALUE"""),"MRISPGRAxial")</f>
        <v>MRISPGRAxial</v>
      </c>
      <c r="AB41" s="6" t="str">
        <f>IFERROR(__xludf.DUMMYFUNCTION("""COMPUTED_VALUE"""),"MRISPGRCoronal")</f>
        <v>MRISPGRCoronal</v>
      </c>
      <c r="AC41" s="6" t="str">
        <f>IFERROR(__xludf.DUMMYFUNCTION("""COMPUTED_VALUE"""),"MRISPGRSagittal")</f>
        <v>MRISPGRSagittal</v>
      </c>
      <c r="AD41" s="6" t="str">
        <f>IFERROR(__xludf.DUMMYFUNCTION("""COMPUTED_VALUE"""),"MRISPGR")</f>
        <v>MRISPGR</v>
      </c>
      <c r="AE41" s="6" t="str">
        <f>IFERROR(__xludf.DUMMYFUNCTION("""COMPUTED_VALUE"""),"MRIDWI")</f>
        <v>MRIDWI</v>
      </c>
      <c r="AF41" s="6" t="str">
        <f>IFERROR(__xludf.DUMMYFUNCTION("""COMPUTED_VALUE"""),"MRIADC")</f>
        <v>MRIADC</v>
      </c>
      <c r="AG41" s="6" t="str">
        <f>IFERROR(__xludf.DUMMYFUNCTION("""COMPUTED_VALUE"""),"MRIMRS")</f>
        <v>MRIMRS</v>
      </c>
      <c r="AH41" s="6" t="str">
        <f>IFERROR(__xludf.DUMMYFUNCTION("""COMPUTED_VALUE"""),"MRIOther")</f>
        <v>MRIOther</v>
      </c>
      <c r="AI41" s="6" t="str">
        <f>IFERROR(__xludf.DUMMYFUNCTION("""COMPUTED_VALUE"""),"MRIOtherText")</f>
        <v>MRIOtherText</v>
      </c>
      <c r="AJ41" s="6" t="str">
        <f>IFERROR(__xludf.DUMMYFUNCTION("""COMPUTED_VALUE"""),"MRIOverallDiagnosis")</f>
        <v>MRIOverallDiagnosis</v>
      </c>
      <c r="AK41" s="6" t="str">
        <f>IFERROR(__xludf.DUMMYFUNCTION("""COMPUTED_VALUE"""),"MRIOverallDiagnosisText")</f>
        <v>MRIOverallDiagnosisText</v>
      </c>
      <c r="AL41" s="6" t="str">
        <f>IFERROR(__xludf.DUMMYFUNCTION("""COMPUTED_VALUE"""),"MRIAbnormal")</f>
        <v>MRIAbnormal</v>
      </c>
      <c r="AM41" s="6" t="str">
        <f>IFERROR(__xludf.DUMMYFUNCTION("""COMPUTED_VALUE"""),"MRICerebralAtrophy")</f>
        <v>MRICerebralAtrophy</v>
      </c>
      <c r="AN41" s="6" t="str">
        <f>IFERROR(__xludf.DUMMYFUNCTION("""COMPUTED_VALUE"""),"MRICerebralAtrophyGlobalLocal")</f>
        <v>MRICerebralAtrophyGlobalLocal</v>
      </c>
      <c r="AO41" s="6" t="str">
        <f>IFERROR(__xludf.DUMMYFUNCTION("""COMPUTED_VALUE"""),"MRICerebralAtrophyRegion")</f>
        <v>MRICerebralAtrophyRegion</v>
      </c>
      <c r="AP41" s="6" t="str">
        <f>IFERROR(__xludf.DUMMYFUNCTION("""COMPUTED_VALUE"""),"MRICerebralAtrophyQualAssessCC")</f>
        <v>MRICerebralAtrophyQualAssessCC</v>
      </c>
      <c r="AQ41" s="6" t="str">
        <f>IFERROR(__xludf.DUMMYFUNCTION("""COMPUTED_VALUE"""),"MRICerebralAtrophyQualAssessVDLeft")</f>
        <v>MRICerebralAtrophyQualAssessVDLeft</v>
      </c>
      <c r="AR41" s="6" t="str">
        <f>IFERROR(__xludf.DUMMYFUNCTION("""COMPUTED_VALUE"""),"MRICerebralAtrophyQualAssessVDRight")</f>
        <v>MRICerebralAtrophyQualAssessVDRight</v>
      </c>
      <c r="AS41" s="6" t="str">
        <f>IFERROR(__xludf.DUMMYFUNCTION("""COMPUTED_VALUE"""),"MRIInfarction")</f>
        <v>MRIInfarction</v>
      </c>
      <c r="AT41" s="6" t="str">
        <f>IFERROR(__xludf.DUMMYFUNCTION("""COMPUTED_VALUE"""),"MRIInfarctionArterialTerritoryLeft")</f>
        <v>MRIInfarctionArterialTerritoryLeft</v>
      </c>
      <c r="AU41" s="6" t="str">
        <f>IFERROR(__xludf.DUMMYFUNCTION("""COMPUTED_VALUE"""),"MRIInfarctionArterialTerritoryRight")</f>
        <v>MRIInfarctionArterialTerritoryRight</v>
      </c>
      <c r="AV41" s="6" t="str">
        <f>IFERROR(__xludf.DUMMYFUNCTION("""COMPUTED_VALUE"""),"MRIInfarctionWatershedLeft")</f>
        <v>MRIInfarctionWatershedLeft</v>
      </c>
      <c r="AW41" s="6" t="str">
        <f>IFERROR(__xludf.DUMMYFUNCTION("""COMPUTED_VALUE"""),"MRIInfarctionWatershedRight")</f>
        <v>MRIInfarctionWatershedRight</v>
      </c>
      <c r="AX41" s="6" t="str">
        <f>IFERROR(__xludf.DUMMYFUNCTION("""COMPUTED_VALUE"""),"MRIMidlineShift")</f>
        <v>MRIMidlineShift</v>
      </c>
      <c r="AY41" s="6" t="str">
        <f>IFERROR(__xludf.DUMMYFUNCTION("""COMPUTED_VALUE"""),"MRIBGT")</f>
        <v>MRIBGT</v>
      </c>
      <c r="AZ41" s="6" t="str">
        <f>IFERROR(__xludf.DUMMYFUNCTION("""COMPUTED_VALUE"""),"MRIPLIC")</f>
        <v>MRIPLIC</v>
      </c>
      <c r="BA41" s="6" t="str">
        <f>IFERROR(__xludf.DUMMYFUNCTION("""COMPUTED_VALUE"""),"MRIALIC")</f>
        <v>MRIALIC</v>
      </c>
      <c r="BB41" s="6" t="str">
        <f>IFERROR(__xludf.DUMMYFUNCTION("""COMPUTED_VALUE"""),"MRIWatershed")</f>
        <v>MRIWatershed</v>
      </c>
      <c r="BC41" s="6" t="str">
        <f>IFERROR(__xludf.DUMMYFUNCTION("""COMPUTED_VALUE"""),"MRIWhiteMatterInjury")</f>
        <v>MRIWhiteMatterInjury</v>
      </c>
      <c r="BD41" s="6" t="str">
        <f>IFERROR(__xludf.DUMMYFUNCTION("""COMPUTED_VALUE"""),"MRIFocalCorticalInjury")</f>
        <v>MRIFocalCorticalInjury</v>
      </c>
      <c r="BE41" s="6" t="str">
        <f>IFERROR(__xludf.DUMMYFUNCTION("""COMPUTED_VALUE"""),"MRINRNPatternOfInjuryExtent")</f>
        <v>MRINRNPatternOfInjuryExtent</v>
      </c>
      <c r="BF41" s="6" t="str">
        <f>IFERROR(__xludf.DUMMYFUNCTION("""COMPUTED_VALUE"""),"MRINRNPatternOfInjuryLateral")</f>
        <v>MRINRNPatternOfInjuryLateral</v>
      </c>
      <c r="BG41" s="6" t="str">
        <f>IFERROR(__xludf.DUMMYFUNCTION("""COMPUTED_VALUE"""),"MRIComment")</f>
        <v>MRIComment</v>
      </c>
      <c r="BH41" s="6" t="str">
        <f>IFERROR(__xludf.DUMMYFUNCTION("""COMPUTED_VALUE"""),"MRINRNPatternOfInjury")</f>
        <v>MRINRNPatternOfInjury</v>
      </c>
      <c r="BI41" s="6" t="str">
        <f>IFERROR(__xludf.DUMMYFUNCTION("""COMPUTED_VALUE"""),"]")</f>
        <v>]</v>
      </c>
    </row>
    <row r="42">
      <c r="A42" s="1" t="str">
        <f>'01-number of variables'!A42</f>
        <v>03-05_s-mri.csv</v>
      </c>
      <c r="B42" s="1">
        <f>'01-number of variables'!B42</f>
        <v>65</v>
      </c>
      <c r="C42" s="1" t="str">
        <f>'01-number of variables'!C42</f>
        <v>['MRIAvailable', 'MRIObtain', 'MRIObtainWindow', 'MRIObtainComment', 'MRINoObtainReason', 'MRINoObtainReasonText', 'MRIRead', 'MRIScore', 'MRI2LevelPatternOfInjury', 'MRIAge_day', 'MRIOverallDiagnosisMerge', 'MRINRNPatternOfInjury', 'MRINotDone', 'MRIUnread', 'MRIAnalysis', 'MRIAbnormalResult', 'MRINRNPatternOfInjuryWSvsBGTPLIC', 'MRICerebralLesion', 'MRICerebellarLesion', 'MRIBasalGangliaLesion', 'MRIBrainstemLesion', 'MRICorpusCallosumLesion', 'MRICerebralLesionLobe', 'MRICoronaRadiataLesion', 'MRIEdema', 'MRIExtraAxialLesion', 'MRIExtent', 'MRIFrontalParietalLesion', 'MRIFrontalLesion', 'MRILateralHemisphericDevastation', 'MRIHippocampusLesion', 'MRIHypothalamusLesion', 'MRIInsularLesion', 'MRILateralityMerge', 'MRIBGTMerge', 'MRIPLICMerge', 'MRIWatershedMerge', 'MRIWhiteMatterInjuryMerge', 'MRIDate', 'MRIOccipitalLesion', 'MRITime', 'MRIOpticChiasmLesion', 'MRIOtherLesion', 'MRIOtherCerebralLesion', 'MRIParasagittalLesion', 'MRIParietalLesion', 'MRIPreirolandicLesion', 'MRIPerisylvianLesion', 'MRIPituitaryLesion', 'MRIParietalOccipitalLesion', 'MRIParietalTemporalLesion', 'MRIScalpLesion', 'MRIThalamusLesion', 'MRITemporalLesion', 'MRITemporalOccipitalLesion', 'MRICerebralAtrophyMerge', 'MRICerebralAtrophyQualAssessCCMerge', 'MRICerebralAtrophyGlobalLocalMerge', 'MRIVascularTerritoryInfarctionMerge', 'MRIVascularTerritoryInfarctionLeftMerge', 'MRIVascularTerritoryInfarctionRightMerge', 'MRIHemisphericDevastation', 'MRIVentricularDilatation', 'MRIVascularLesion', 'MRIIntraventricularLesion']</v>
      </c>
      <c r="D42" s="1" t="str">
        <f>'01-number of variables'!D43</f>
        <v/>
      </c>
      <c r="E42" s="1" t="str">
        <f>IFERROR(__xludf.DUMMYFUNCTION("split(C42, ""', '"")"),"[")</f>
        <v>[</v>
      </c>
      <c r="F42" s="6" t="str">
        <f>IFERROR(__xludf.DUMMYFUNCTION("""COMPUTED_VALUE"""),"MRIAvailable")</f>
        <v>MRIAvailable</v>
      </c>
      <c r="G42" s="6" t="str">
        <f>IFERROR(__xludf.DUMMYFUNCTION("""COMPUTED_VALUE"""),"MRIObtain")</f>
        <v>MRIObtain</v>
      </c>
      <c r="H42" s="6" t="str">
        <f>IFERROR(__xludf.DUMMYFUNCTION("""COMPUTED_VALUE"""),"MRIObtainWindow")</f>
        <v>MRIObtainWindow</v>
      </c>
      <c r="I42" s="6" t="str">
        <f>IFERROR(__xludf.DUMMYFUNCTION("""COMPUTED_VALUE"""),"MRIObtainComment")</f>
        <v>MRIObtainComment</v>
      </c>
      <c r="J42" s="6" t="str">
        <f>IFERROR(__xludf.DUMMYFUNCTION("""COMPUTED_VALUE"""),"MRINoObtainReason")</f>
        <v>MRINoObtainReason</v>
      </c>
      <c r="K42" s="6" t="str">
        <f>IFERROR(__xludf.DUMMYFUNCTION("""COMPUTED_VALUE"""),"MRINoObtainReasonText")</f>
        <v>MRINoObtainReasonText</v>
      </c>
      <c r="L42" s="6" t="str">
        <f>IFERROR(__xludf.DUMMYFUNCTION("""COMPUTED_VALUE"""),"MRIRead")</f>
        <v>MRIRead</v>
      </c>
      <c r="M42" s="6" t="str">
        <f>IFERROR(__xludf.DUMMYFUNCTION("""COMPUTED_VALUE"""),"MRIScore")</f>
        <v>MRIScore</v>
      </c>
      <c r="N42" s="6" t="str">
        <f>IFERROR(__xludf.DUMMYFUNCTION("""COMPUTED_VALUE"""),"MRI2LevelPatternOfInjury")</f>
        <v>MRI2LevelPatternOfInjury</v>
      </c>
      <c r="O42" s="6" t="str">
        <f>IFERROR(__xludf.DUMMYFUNCTION("""COMPUTED_VALUE"""),"MRIAge_day")</f>
        <v>MRIAge_day</v>
      </c>
      <c r="P42" s="6" t="str">
        <f>IFERROR(__xludf.DUMMYFUNCTION("""COMPUTED_VALUE"""),"MRIOverallDiagnosisMerge")</f>
        <v>MRIOverallDiagnosisMerge</v>
      </c>
      <c r="Q42" s="6" t="str">
        <f>IFERROR(__xludf.DUMMYFUNCTION("""COMPUTED_VALUE"""),"MRINRNPatternOfInjury")</f>
        <v>MRINRNPatternOfInjury</v>
      </c>
      <c r="R42" s="6" t="str">
        <f>IFERROR(__xludf.DUMMYFUNCTION("""COMPUTED_VALUE"""),"MRINotDone")</f>
        <v>MRINotDone</v>
      </c>
      <c r="S42" s="6" t="str">
        <f>IFERROR(__xludf.DUMMYFUNCTION("""COMPUTED_VALUE"""),"MRIUnread")</f>
        <v>MRIUnread</v>
      </c>
      <c r="T42" s="6" t="str">
        <f>IFERROR(__xludf.DUMMYFUNCTION("""COMPUTED_VALUE"""),"MRIAnalysis")</f>
        <v>MRIAnalysis</v>
      </c>
      <c r="U42" s="6" t="str">
        <f>IFERROR(__xludf.DUMMYFUNCTION("""COMPUTED_VALUE"""),"MRIAbnormalResult")</f>
        <v>MRIAbnormalResult</v>
      </c>
      <c r="V42" s="6" t="str">
        <f>IFERROR(__xludf.DUMMYFUNCTION("""COMPUTED_VALUE"""),"MRINRNPatternOfInjuryWSvsBGTPLIC")</f>
        <v>MRINRNPatternOfInjuryWSvsBGTPLIC</v>
      </c>
      <c r="W42" s="6" t="str">
        <f>IFERROR(__xludf.DUMMYFUNCTION("""COMPUTED_VALUE"""),"MRICerebralLesion")</f>
        <v>MRICerebralLesion</v>
      </c>
      <c r="X42" s="6" t="str">
        <f>IFERROR(__xludf.DUMMYFUNCTION("""COMPUTED_VALUE"""),"MRICerebellarLesion")</f>
        <v>MRICerebellarLesion</v>
      </c>
      <c r="Y42" s="6" t="str">
        <f>IFERROR(__xludf.DUMMYFUNCTION("""COMPUTED_VALUE"""),"MRIBasalGangliaLesion")</f>
        <v>MRIBasalGangliaLesion</v>
      </c>
      <c r="Z42" s="6" t="str">
        <f>IFERROR(__xludf.DUMMYFUNCTION("""COMPUTED_VALUE"""),"MRIBrainstemLesion")</f>
        <v>MRIBrainstemLesion</v>
      </c>
      <c r="AA42" s="6" t="str">
        <f>IFERROR(__xludf.DUMMYFUNCTION("""COMPUTED_VALUE"""),"MRICorpusCallosumLesion")</f>
        <v>MRICorpusCallosumLesion</v>
      </c>
      <c r="AB42" s="6" t="str">
        <f>IFERROR(__xludf.DUMMYFUNCTION("""COMPUTED_VALUE"""),"MRICerebralLesionLobe")</f>
        <v>MRICerebralLesionLobe</v>
      </c>
      <c r="AC42" s="6" t="str">
        <f>IFERROR(__xludf.DUMMYFUNCTION("""COMPUTED_VALUE"""),"MRICoronaRadiataLesion")</f>
        <v>MRICoronaRadiataLesion</v>
      </c>
      <c r="AD42" s="6" t="str">
        <f>IFERROR(__xludf.DUMMYFUNCTION("""COMPUTED_VALUE"""),"MRIEdema")</f>
        <v>MRIEdema</v>
      </c>
      <c r="AE42" s="6" t="str">
        <f>IFERROR(__xludf.DUMMYFUNCTION("""COMPUTED_VALUE"""),"MRIExtraAxialLesion")</f>
        <v>MRIExtraAxialLesion</v>
      </c>
      <c r="AF42" s="6" t="str">
        <f>IFERROR(__xludf.DUMMYFUNCTION("""COMPUTED_VALUE"""),"MRIExtent")</f>
        <v>MRIExtent</v>
      </c>
      <c r="AG42" s="6" t="str">
        <f>IFERROR(__xludf.DUMMYFUNCTION("""COMPUTED_VALUE"""),"MRIFrontalParietalLesion")</f>
        <v>MRIFrontalParietalLesion</v>
      </c>
      <c r="AH42" s="6" t="str">
        <f>IFERROR(__xludf.DUMMYFUNCTION("""COMPUTED_VALUE"""),"MRIFrontalLesion")</f>
        <v>MRIFrontalLesion</v>
      </c>
      <c r="AI42" s="6" t="str">
        <f>IFERROR(__xludf.DUMMYFUNCTION("""COMPUTED_VALUE"""),"MRILateralHemisphericDevastation")</f>
        <v>MRILateralHemisphericDevastation</v>
      </c>
      <c r="AJ42" s="6" t="str">
        <f>IFERROR(__xludf.DUMMYFUNCTION("""COMPUTED_VALUE"""),"MRIHippocampusLesion")</f>
        <v>MRIHippocampusLesion</v>
      </c>
      <c r="AK42" s="6" t="str">
        <f>IFERROR(__xludf.DUMMYFUNCTION("""COMPUTED_VALUE"""),"MRIHypothalamusLesion")</f>
        <v>MRIHypothalamusLesion</v>
      </c>
      <c r="AL42" s="6" t="str">
        <f>IFERROR(__xludf.DUMMYFUNCTION("""COMPUTED_VALUE"""),"MRIInsularLesion")</f>
        <v>MRIInsularLesion</v>
      </c>
      <c r="AM42" s="6" t="str">
        <f>IFERROR(__xludf.DUMMYFUNCTION("""COMPUTED_VALUE"""),"MRILateralityMerge")</f>
        <v>MRILateralityMerge</v>
      </c>
      <c r="AN42" s="6" t="str">
        <f>IFERROR(__xludf.DUMMYFUNCTION("""COMPUTED_VALUE"""),"MRIBGTMerge")</f>
        <v>MRIBGTMerge</v>
      </c>
      <c r="AO42" s="6" t="str">
        <f>IFERROR(__xludf.DUMMYFUNCTION("""COMPUTED_VALUE"""),"MRIPLICMerge")</f>
        <v>MRIPLICMerge</v>
      </c>
      <c r="AP42" s="6" t="str">
        <f>IFERROR(__xludf.DUMMYFUNCTION("""COMPUTED_VALUE"""),"MRIWatershedMerge")</f>
        <v>MRIWatershedMerge</v>
      </c>
      <c r="AQ42" s="6" t="str">
        <f>IFERROR(__xludf.DUMMYFUNCTION("""COMPUTED_VALUE"""),"MRIWhiteMatterInjuryMerge")</f>
        <v>MRIWhiteMatterInjuryMerge</v>
      </c>
      <c r="AR42" s="6" t="str">
        <f>IFERROR(__xludf.DUMMYFUNCTION("""COMPUTED_VALUE"""),"MRIDate")</f>
        <v>MRIDate</v>
      </c>
      <c r="AS42" s="6" t="str">
        <f>IFERROR(__xludf.DUMMYFUNCTION("""COMPUTED_VALUE"""),"MRIOccipitalLesion")</f>
        <v>MRIOccipitalLesion</v>
      </c>
      <c r="AT42" s="6" t="str">
        <f>IFERROR(__xludf.DUMMYFUNCTION("""COMPUTED_VALUE"""),"MRITime")</f>
        <v>MRITime</v>
      </c>
      <c r="AU42" s="6" t="str">
        <f>IFERROR(__xludf.DUMMYFUNCTION("""COMPUTED_VALUE"""),"MRIOpticChiasmLesion")</f>
        <v>MRIOpticChiasmLesion</v>
      </c>
      <c r="AV42" s="6" t="str">
        <f>IFERROR(__xludf.DUMMYFUNCTION("""COMPUTED_VALUE"""),"MRIOtherLesion")</f>
        <v>MRIOtherLesion</v>
      </c>
      <c r="AW42" s="6" t="str">
        <f>IFERROR(__xludf.DUMMYFUNCTION("""COMPUTED_VALUE"""),"MRIOtherCerebralLesion")</f>
        <v>MRIOtherCerebralLesion</v>
      </c>
      <c r="AX42" s="6" t="str">
        <f>IFERROR(__xludf.DUMMYFUNCTION("""COMPUTED_VALUE"""),"MRIParasagittalLesion")</f>
        <v>MRIParasagittalLesion</v>
      </c>
      <c r="AY42" s="6" t="str">
        <f>IFERROR(__xludf.DUMMYFUNCTION("""COMPUTED_VALUE"""),"MRIParietalLesion")</f>
        <v>MRIParietalLesion</v>
      </c>
      <c r="AZ42" s="6" t="str">
        <f>IFERROR(__xludf.DUMMYFUNCTION("""COMPUTED_VALUE"""),"MRIPreirolandicLesion")</f>
        <v>MRIPreirolandicLesion</v>
      </c>
      <c r="BA42" s="6" t="str">
        <f>IFERROR(__xludf.DUMMYFUNCTION("""COMPUTED_VALUE"""),"MRIPerisylvianLesion")</f>
        <v>MRIPerisylvianLesion</v>
      </c>
      <c r="BB42" s="6" t="str">
        <f>IFERROR(__xludf.DUMMYFUNCTION("""COMPUTED_VALUE"""),"MRIPituitaryLesion")</f>
        <v>MRIPituitaryLesion</v>
      </c>
      <c r="BC42" s="6" t="str">
        <f>IFERROR(__xludf.DUMMYFUNCTION("""COMPUTED_VALUE"""),"MRIParietalOccipitalLesion")</f>
        <v>MRIParietalOccipitalLesion</v>
      </c>
      <c r="BD42" s="6" t="str">
        <f>IFERROR(__xludf.DUMMYFUNCTION("""COMPUTED_VALUE"""),"MRIParietalTemporalLesion")</f>
        <v>MRIParietalTemporalLesion</v>
      </c>
      <c r="BE42" s="6" t="str">
        <f>IFERROR(__xludf.DUMMYFUNCTION("""COMPUTED_VALUE"""),"MRIScalpLesion")</f>
        <v>MRIScalpLesion</v>
      </c>
      <c r="BF42" s="6" t="str">
        <f>IFERROR(__xludf.DUMMYFUNCTION("""COMPUTED_VALUE"""),"MRIThalamusLesion")</f>
        <v>MRIThalamusLesion</v>
      </c>
      <c r="BG42" s="6" t="str">
        <f>IFERROR(__xludf.DUMMYFUNCTION("""COMPUTED_VALUE"""),"MRITemporalLesion")</f>
        <v>MRITemporalLesion</v>
      </c>
      <c r="BH42" s="6" t="str">
        <f>IFERROR(__xludf.DUMMYFUNCTION("""COMPUTED_VALUE"""),"MRITemporalOccipitalLesion")</f>
        <v>MRITemporalOccipitalLesion</v>
      </c>
      <c r="BI42" s="6" t="str">
        <f>IFERROR(__xludf.DUMMYFUNCTION("""COMPUTED_VALUE"""),"MRICerebralAtrophyMerge")</f>
        <v>MRICerebralAtrophyMerge</v>
      </c>
      <c r="BJ42" s="6" t="str">
        <f>IFERROR(__xludf.DUMMYFUNCTION("""COMPUTED_VALUE"""),"MRICerebralAtrophyQualAssessCCMerge")</f>
        <v>MRICerebralAtrophyQualAssessCCMerge</v>
      </c>
      <c r="BK42" s="6" t="str">
        <f>IFERROR(__xludf.DUMMYFUNCTION("""COMPUTED_VALUE"""),"MRICerebralAtrophyGlobalLocalMerge")</f>
        <v>MRICerebralAtrophyGlobalLocalMerge</v>
      </c>
      <c r="BL42" s="6" t="str">
        <f>IFERROR(__xludf.DUMMYFUNCTION("""COMPUTED_VALUE"""),"MRIVascularTerritoryInfarctionMerge")</f>
        <v>MRIVascularTerritoryInfarctionMerge</v>
      </c>
      <c r="BM42" s="6" t="str">
        <f>IFERROR(__xludf.DUMMYFUNCTION("""COMPUTED_VALUE"""),"MRIVascularTerritoryInfarctionLeftMerge")</f>
        <v>MRIVascularTerritoryInfarctionLeftMerge</v>
      </c>
      <c r="BN42" s="6" t="str">
        <f>IFERROR(__xludf.DUMMYFUNCTION("""COMPUTED_VALUE"""),"MRIVascularTerritoryInfarctionRightMerge")</f>
        <v>MRIVascularTerritoryInfarctionRightMerge</v>
      </c>
      <c r="BO42" s="6" t="str">
        <f>IFERROR(__xludf.DUMMYFUNCTION("""COMPUTED_VALUE"""),"MRIHemisphericDevastation")</f>
        <v>MRIHemisphericDevastation</v>
      </c>
      <c r="BP42" s="6" t="str">
        <f>IFERROR(__xludf.DUMMYFUNCTION("""COMPUTED_VALUE"""),"MRIVentricularDilatation")</f>
        <v>MRIVentricularDilatation</v>
      </c>
      <c r="BQ42" s="6" t="str">
        <f>IFERROR(__xludf.DUMMYFUNCTION("""COMPUTED_VALUE"""),"MRIVascularLesion")</f>
        <v>MRIVascularLesion</v>
      </c>
      <c r="BR42" s="6" t="str">
        <f>IFERROR(__xludf.DUMMYFUNCTION("""COMPUTED_VALUE"""),"MRIIntraventricularLesion")</f>
        <v>MRIIntraventricularLesion</v>
      </c>
      <c r="BS42" s="6" t="str">
        <f>IFERROR(__xludf.DUMMYFUNCTION("""COMPUTED_VALUE"""),"]")</f>
        <v>]</v>
      </c>
    </row>
    <row r="43">
      <c r="A43" s="1" t="str">
        <f>'01-number of variables'!A43</f>
        <v>03-05_s1-mri.csv</v>
      </c>
      <c r="B43" s="1">
        <f>'01-number of variables'!B43</f>
        <v>2</v>
      </c>
      <c r="C43" s="1" t="str">
        <f>'01-number of variables'!C43</f>
        <v>['MRINRNPatternOfInjuryAvg', 'MRINRNPatternOfInjuryMax']</v>
      </c>
      <c r="D43" s="1" t="str">
        <f>'01-number of variables'!D44</f>
        <v/>
      </c>
      <c r="E43" s="1" t="str">
        <f>IFERROR(__xludf.DUMMYFUNCTION("split(C43, ""', '"")"),"[")</f>
        <v>[</v>
      </c>
      <c r="F43" s="6" t="str">
        <f>IFERROR(__xludf.DUMMYFUNCTION("""COMPUTED_VALUE"""),"MRINRNPatternOfInjuryAvg")</f>
        <v>MRINRNPatternOfInjuryAvg</v>
      </c>
      <c r="G43" s="6" t="str">
        <f>IFERROR(__xludf.DUMMYFUNCTION("""COMPUTED_VALUE"""),"MRINRNPatternOfInjuryMax")</f>
        <v>MRINRNPatternOfInjuryMax</v>
      </c>
      <c r="H43" s="6" t="str">
        <f>IFERROR(__xludf.DUMMYFUNCTION("""COMPUTED_VALUE"""),"]")</f>
        <v>]</v>
      </c>
    </row>
    <row r="44">
      <c r="A44" s="1" t="str">
        <f>'01-number of variables'!A44</f>
        <v>04-01-status.csv</v>
      </c>
      <c r="B44" s="1">
        <f>'01-number of variables'!B44</f>
        <v>19</v>
      </c>
      <c r="C44" s="1" t="str">
        <f>'01-number of variables'!C44</f>
        <v>['status', 'statusDate', 'dischargeDate', 'dischargeWeight_g', 'dischargeLength_cm', 'dischargeHeadCircumference_cm', 'transferReason', 'transferDate', 'transferWeight_g', 'transferLength_cm', 'transferHeadCircumference_cm', 'transferOutcome', 'deathDate', 'deathTime', 'deathAge_day', 'deathAutopsy', 'deathCause', 'deathCauseText', 'deathSrc']</v>
      </c>
      <c r="D44" s="1" t="str">
        <f>'01-number of variables'!D45</f>
        <v/>
      </c>
      <c r="E44" s="1" t="str">
        <f>IFERROR(__xludf.DUMMYFUNCTION("split(C44, ""', '"")"),"[")</f>
        <v>[</v>
      </c>
      <c r="F44" s="6" t="str">
        <f>IFERROR(__xludf.DUMMYFUNCTION("""COMPUTED_VALUE"""),"status")</f>
        <v>status</v>
      </c>
      <c r="G44" s="6" t="str">
        <f>IFERROR(__xludf.DUMMYFUNCTION("""COMPUTED_VALUE"""),"statusDate")</f>
        <v>statusDate</v>
      </c>
      <c r="H44" s="6" t="str">
        <f>IFERROR(__xludf.DUMMYFUNCTION("""COMPUTED_VALUE"""),"dischargeDate")</f>
        <v>dischargeDate</v>
      </c>
      <c r="I44" s="6" t="str">
        <f>IFERROR(__xludf.DUMMYFUNCTION("""COMPUTED_VALUE"""),"dischargeWeight_g")</f>
        <v>dischargeWeight_g</v>
      </c>
      <c r="J44" s="6" t="str">
        <f>IFERROR(__xludf.DUMMYFUNCTION("""COMPUTED_VALUE"""),"dischargeLength_cm")</f>
        <v>dischargeLength_cm</v>
      </c>
      <c r="K44" s="6" t="str">
        <f>IFERROR(__xludf.DUMMYFUNCTION("""COMPUTED_VALUE"""),"dischargeHeadCircumference_cm")</f>
        <v>dischargeHeadCircumference_cm</v>
      </c>
      <c r="L44" s="6" t="str">
        <f>IFERROR(__xludf.DUMMYFUNCTION("""COMPUTED_VALUE"""),"transferReason")</f>
        <v>transferReason</v>
      </c>
      <c r="M44" s="6" t="str">
        <f>IFERROR(__xludf.DUMMYFUNCTION("""COMPUTED_VALUE"""),"transferDate")</f>
        <v>transferDate</v>
      </c>
      <c r="N44" s="6" t="str">
        <f>IFERROR(__xludf.DUMMYFUNCTION("""COMPUTED_VALUE"""),"transferWeight_g")</f>
        <v>transferWeight_g</v>
      </c>
      <c r="O44" s="6" t="str">
        <f>IFERROR(__xludf.DUMMYFUNCTION("""COMPUTED_VALUE"""),"transferLength_cm")</f>
        <v>transferLength_cm</v>
      </c>
      <c r="P44" s="6" t="str">
        <f>IFERROR(__xludf.DUMMYFUNCTION("""COMPUTED_VALUE"""),"transferHeadCircumference_cm")</f>
        <v>transferHeadCircumference_cm</v>
      </c>
      <c r="Q44" s="6" t="str">
        <f>IFERROR(__xludf.DUMMYFUNCTION("""COMPUTED_VALUE"""),"transferOutcome")</f>
        <v>transferOutcome</v>
      </c>
      <c r="R44" s="6" t="str">
        <f>IFERROR(__xludf.DUMMYFUNCTION("""COMPUTED_VALUE"""),"deathDate")</f>
        <v>deathDate</v>
      </c>
      <c r="S44" s="6" t="str">
        <f>IFERROR(__xludf.DUMMYFUNCTION("""COMPUTED_VALUE"""),"deathTime")</f>
        <v>deathTime</v>
      </c>
      <c r="T44" s="6" t="str">
        <f>IFERROR(__xludf.DUMMYFUNCTION("""COMPUTED_VALUE"""),"deathAge_day")</f>
        <v>deathAge_day</v>
      </c>
      <c r="U44" s="6" t="str">
        <f>IFERROR(__xludf.DUMMYFUNCTION("""COMPUTED_VALUE"""),"deathAutopsy")</f>
        <v>deathAutopsy</v>
      </c>
      <c r="V44" s="6" t="str">
        <f>IFERROR(__xludf.DUMMYFUNCTION("""COMPUTED_VALUE"""),"deathCause")</f>
        <v>deathCause</v>
      </c>
      <c r="W44" s="6" t="str">
        <f>IFERROR(__xludf.DUMMYFUNCTION("""COMPUTED_VALUE"""),"deathCauseText")</f>
        <v>deathCauseText</v>
      </c>
      <c r="X44" s="6" t="str">
        <f>IFERROR(__xludf.DUMMYFUNCTION("""COMPUTED_VALUE"""),"deathSrc")</f>
        <v>deathSrc</v>
      </c>
      <c r="Y44" s="6" t="str">
        <f>IFERROR(__xludf.DUMMYFUNCTION("""COMPUTED_VALUE"""),"]")</f>
        <v>]</v>
      </c>
    </row>
    <row r="45">
      <c r="A45" s="1" t="str">
        <f>'01-number of variables'!A45</f>
        <v>04-01_1-length-of-stay.csv</v>
      </c>
      <c r="B45" s="1">
        <f>'01-number of variables'!B45</f>
        <v>1</v>
      </c>
      <c r="C45" s="1" t="str">
        <f>'01-number of variables'!C45</f>
        <v>['lengthOfStay_day']</v>
      </c>
      <c r="D45" s="1" t="str">
        <f>'01-number of variables'!D46</f>
        <v/>
      </c>
      <c r="E45" s="1" t="str">
        <f>IFERROR(__xludf.DUMMYFUNCTION("split(C45, ""', '"")"),"[")</f>
        <v>[</v>
      </c>
      <c r="F45" s="6" t="str">
        <f>IFERROR(__xludf.DUMMYFUNCTION("""COMPUTED_VALUE"""),"lengthOfStay_day")</f>
        <v>lengthOfStay_day</v>
      </c>
      <c r="G45" s="6" t="str">
        <f>IFERROR(__xludf.DUMMYFUNCTION("""COMPUTED_VALUE"""),"]")</f>
        <v>]</v>
      </c>
    </row>
    <row r="46">
      <c r="A46" s="1" t="str">
        <f>'01-number of variables'!A46</f>
        <v>04-02-cardiovascular.csv</v>
      </c>
      <c r="B46" s="1">
        <f>'01-number of variables'!B46</f>
        <v>7</v>
      </c>
      <c r="C46" s="1" t="str">
        <f>'01-number of variables'!C46</f>
        <v>['dischargeCardiomegaly', 'dischargeCardiacFailure', 'dischargeCardiacDysfunctionByEcho', 'dischargeCardiacIschemiaByEKG', 'dischargeHypotension', 'dischargeArrhythmia', 'dischargeInotropicAgent']</v>
      </c>
      <c r="D46" s="1" t="str">
        <f>'01-number of variables'!D47</f>
        <v/>
      </c>
      <c r="E46" s="1" t="str">
        <f>IFERROR(__xludf.DUMMYFUNCTION("split(C46, ""', '"")"),"[")</f>
        <v>[</v>
      </c>
      <c r="F46" s="6" t="str">
        <f>IFERROR(__xludf.DUMMYFUNCTION("""COMPUTED_VALUE"""),"dischargeCardiomegaly")</f>
        <v>dischargeCardiomegaly</v>
      </c>
      <c r="G46" s="6" t="str">
        <f>IFERROR(__xludf.DUMMYFUNCTION("""COMPUTED_VALUE"""),"dischargeCardiacFailure")</f>
        <v>dischargeCardiacFailure</v>
      </c>
      <c r="H46" s="6" t="str">
        <f>IFERROR(__xludf.DUMMYFUNCTION("""COMPUTED_VALUE"""),"dischargeCardiacDysfunctionByEcho")</f>
        <v>dischargeCardiacDysfunctionByEcho</v>
      </c>
      <c r="I46" s="6" t="str">
        <f>IFERROR(__xludf.DUMMYFUNCTION("""COMPUTED_VALUE"""),"dischargeCardiacIschemiaByEKG")</f>
        <v>dischargeCardiacIschemiaByEKG</v>
      </c>
      <c r="J46" s="6" t="str">
        <f>IFERROR(__xludf.DUMMYFUNCTION("""COMPUTED_VALUE"""),"dischargeHypotension")</f>
        <v>dischargeHypotension</v>
      </c>
      <c r="K46" s="6" t="str">
        <f>IFERROR(__xludf.DUMMYFUNCTION("""COMPUTED_VALUE"""),"dischargeArrhythmia")</f>
        <v>dischargeArrhythmia</v>
      </c>
      <c r="L46" s="6" t="str">
        <f>IFERROR(__xludf.DUMMYFUNCTION("""COMPUTED_VALUE"""),"dischargeInotropicAgent")</f>
        <v>dischargeInotropicAgent</v>
      </c>
      <c r="M46" s="6" t="str">
        <f>IFERROR(__xludf.DUMMYFUNCTION("""COMPUTED_VALUE"""),"]")</f>
        <v>]</v>
      </c>
    </row>
    <row r="47">
      <c r="A47" s="1" t="str">
        <f>'01-number of variables'!A47</f>
        <v>04-03-respiratory.csv</v>
      </c>
      <c r="B47" s="1">
        <f>'01-number of variables'!B47</f>
        <v>14</v>
      </c>
      <c r="C47" s="1" t="str">
        <f>'01-number of variables'!C47</f>
        <v>['dischargeMeconiumAspirationSyndrome', 'dischargePPHN', 'dischargePulmonaryHemorrhage', 'dischargePenumonia', 'dischargeChronicLungDisease', 'dischargeECMO', 'dischargeINO', 'dischargeVentilator_day', 'dischargeOxygen_day', 'dischargeCPAP_day', 'dischargePulmonaryStartDate1', 'dischargePulmonaryStartTime1', 'dischargePulmonaryEndDate1', 'dischargePulmonaryEndTime1']</v>
      </c>
      <c r="D47" s="1" t="str">
        <f>'01-number of variables'!D48</f>
        <v/>
      </c>
      <c r="E47" s="1" t="str">
        <f>IFERROR(__xludf.DUMMYFUNCTION("split(C47, ""', '"")"),"[")</f>
        <v>[</v>
      </c>
      <c r="F47" s="6" t="str">
        <f>IFERROR(__xludf.DUMMYFUNCTION("""COMPUTED_VALUE"""),"dischargeMeconiumAspirationSyndrome")</f>
        <v>dischargeMeconiumAspirationSyndrome</v>
      </c>
      <c r="G47" s="6" t="str">
        <f>IFERROR(__xludf.DUMMYFUNCTION("""COMPUTED_VALUE"""),"dischargePPHN")</f>
        <v>dischargePPHN</v>
      </c>
      <c r="H47" s="6" t="str">
        <f>IFERROR(__xludf.DUMMYFUNCTION("""COMPUTED_VALUE"""),"dischargePulmonaryHemorrhage")</f>
        <v>dischargePulmonaryHemorrhage</v>
      </c>
      <c r="I47" s="6" t="str">
        <f>IFERROR(__xludf.DUMMYFUNCTION("""COMPUTED_VALUE"""),"dischargePenumonia")</f>
        <v>dischargePenumonia</v>
      </c>
      <c r="J47" s="6" t="str">
        <f>IFERROR(__xludf.DUMMYFUNCTION("""COMPUTED_VALUE"""),"dischargeChronicLungDisease")</f>
        <v>dischargeChronicLungDisease</v>
      </c>
      <c r="K47" s="6" t="str">
        <f>IFERROR(__xludf.DUMMYFUNCTION("""COMPUTED_VALUE"""),"dischargeECMO")</f>
        <v>dischargeECMO</v>
      </c>
      <c r="L47" s="6" t="str">
        <f>IFERROR(__xludf.DUMMYFUNCTION("""COMPUTED_VALUE"""),"dischargeINO")</f>
        <v>dischargeINO</v>
      </c>
      <c r="M47" s="6" t="str">
        <f>IFERROR(__xludf.DUMMYFUNCTION("""COMPUTED_VALUE"""),"dischargeVentilator_day")</f>
        <v>dischargeVentilator_day</v>
      </c>
      <c r="N47" s="6" t="str">
        <f>IFERROR(__xludf.DUMMYFUNCTION("""COMPUTED_VALUE"""),"dischargeOxygen_day")</f>
        <v>dischargeOxygen_day</v>
      </c>
      <c r="O47" s="6" t="str">
        <f>IFERROR(__xludf.DUMMYFUNCTION("""COMPUTED_VALUE"""),"dischargeCPAP_day")</f>
        <v>dischargeCPAP_day</v>
      </c>
      <c r="P47" s="6" t="str">
        <f>IFERROR(__xludf.DUMMYFUNCTION("""COMPUTED_VALUE"""),"dischargePulmonaryStartDate1")</f>
        <v>dischargePulmonaryStartDate1</v>
      </c>
      <c r="Q47" s="6" t="str">
        <f>IFERROR(__xludf.DUMMYFUNCTION("""COMPUTED_VALUE"""),"dischargePulmonaryStartTime1")</f>
        <v>dischargePulmonaryStartTime1</v>
      </c>
      <c r="R47" s="6" t="str">
        <f>IFERROR(__xludf.DUMMYFUNCTION("""COMPUTED_VALUE"""),"dischargePulmonaryEndDate1")</f>
        <v>dischargePulmonaryEndDate1</v>
      </c>
      <c r="S47" s="6" t="str">
        <f>IFERROR(__xludf.DUMMYFUNCTION("""COMPUTED_VALUE"""),"dischargePulmonaryEndTime1")</f>
        <v>dischargePulmonaryEndTime1</v>
      </c>
      <c r="T47" s="6" t="str">
        <f>IFERROR(__xludf.DUMMYFUNCTION("""COMPUTED_VALUE"""),"]")</f>
        <v>]</v>
      </c>
    </row>
    <row r="48">
      <c r="A48" s="1" t="str">
        <f>'01-number of variables'!A48</f>
        <v>04-04-hematology.csv</v>
      </c>
      <c r="B48" s="1">
        <f>'01-number of variables'!B48</f>
        <v>1</v>
      </c>
      <c r="C48" s="1" t="str">
        <f>'01-number of variables'!C48</f>
        <v>['dischargeDIC']</v>
      </c>
      <c r="D48" s="1" t="str">
        <f>'01-number of variables'!D49</f>
        <v/>
      </c>
      <c r="E48" s="1" t="str">
        <f>IFERROR(__xludf.DUMMYFUNCTION("split(C48, ""', '"")"),"[")</f>
        <v>[</v>
      </c>
      <c r="F48" s="6" t="str">
        <f>IFERROR(__xludf.DUMMYFUNCTION("""COMPUTED_VALUE"""),"dischargeDIC")</f>
        <v>dischargeDIC</v>
      </c>
      <c r="G48" s="6" t="str">
        <f>IFERROR(__xludf.DUMMYFUNCTION("""COMPUTED_VALUE"""),"]")</f>
        <v>]</v>
      </c>
    </row>
    <row r="49">
      <c r="A49" s="1" t="str">
        <f>'01-number of variables'!A49</f>
        <v>04-05-metabolic.csv</v>
      </c>
      <c r="B49" s="1">
        <f>'01-number of variables'!B49</f>
        <v>3</v>
      </c>
      <c r="C49" s="1" t="str">
        <f>'01-number of variables'!C49</f>
        <v>['dischargeHypoglycemia', 'dischargeHypocalcemia', 'dischargeHypomagnesemia']</v>
      </c>
      <c r="D49" s="1" t="str">
        <f>'01-number of variables'!D50</f>
        <v/>
      </c>
      <c r="E49" s="1" t="str">
        <f>IFERROR(__xludf.DUMMYFUNCTION("split(C49, ""', '"")"),"[")</f>
        <v>[</v>
      </c>
      <c r="F49" s="6" t="str">
        <f>IFERROR(__xludf.DUMMYFUNCTION("""COMPUTED_VALUE"""),"dischargeHypoglycemia")</f>
        <v>dischargeHypoglycemia</v>
      </c>
      <c r="G49" s="6" t="str">
        <f>IFERROR(__xludf.DUMMYFUNCTION("""COMPUTED_VALUE"""),"dischargeHypocalcemia")</f>
        <v>dischargeHypocalcemia</v>
      </c>
      <c r="H49" s="6" t="str">
        <f>IFERROR(__xludf.DUMMYFUNCTION("""COMPUTED_VALUE"""),"dischargeHypomagnesemia")</f>
        <v>dischargeHypomagnesemia</v>
      </c>
      <c r="I49" s="6" t="str">
        <f>IFERROR(__xludf.DUMMYFUNCTION("""COMPUTED_VALUE"""),"]")</f>
        <v>]</v>
      </c>
    </row>
    <row r="50">
      <c r="A50" s="1" t="str">
        <f>'01-number of variables'!A50</f>
        <v>04-06-renal.csv</v>
      </c>
      <c r="B50" s="1">
        <f>'01-number of variables'!B50</f>
        <v>3</v>
      </c>
      <c r="C50" s="1" t="str">
        <f>'01-number of variables'!C50</f>
        <v>['dischargeOliguria', 'dischargeAnuria', 'dischargeDialysis']</v>
      </c>
      <c r="D50" s="1" t="str">
        <f>'01-number of variables'!D51</f>
        <v/>
      </c>
      <c r="E50" s="1" t="str">
        <f>IFERROR(__xludf.DUMMYFUNCTION("split(C50, ""', '"")"),"[")</f>
        <v>[</v>
      </c>
      <c r="F50" s="6" t="str">
        <f>IFERROR(__xludf.DUMMYFUNCTION("""COMPUTED_VALUE"""),"dischargeOliguria")</f>
        <v>dischargeOliguria</v>
      </c>
      <c r="G50" s="6" t="str">
        <f>IFERROR(__xludf.DUMMYFUNCTION("""COMPUTED_VALUE"""),"dischargeAnuria")</f>
        <v>dischargeAnuria</v>
      </c>
      <c r="H50" s="6" t="str">
        <f>IFERROR(__xludf.DUMMYFUNCTION("""COMPUTED_VALUE"""),"dischargeDialysis")</f>
        <v>dischargeDialysis</v>
      </c>
      <c r="I50" s="6" t="str">
        <f>IFERROR(__xludf.DUMMYFUNCTION("""COMPUTED_VALUE"""),"]")</f>
        <v>]</v>
      </c>
    </row>
    <row r="51">
      <c r="A51" s="1" t="str">
        <f>'01-number of variables'!A51</f>
        <v>04-07-gastrointestinal.csv</v>
      </c>
      <c r="B51" s="1">
        <f>'01-number of variables'!B51</f>
        <v>6</v>
      </c>
      <c r="C51" s="1" t="str">
        <f>'01-number of variables'!C51</f>
        <v>['dischargeEnteralFeedStart_day', 'dischargeTubeFeedingDuration_day', 'dischargeFullNippleFeed', 'dischargeFullNippleFeed_day', 'dischargeNEC', 'dischargeHepaticDysfunction']</v>
      </c>
      <c r="D51" s="1" t="str">
        <f>'01-number of variables'!D52</f>
        <v/>
      </c>
      <c r="E51" s="1" t="str">
        <f>IFERROR(__xludf.DUMMYFUNCTION("split(C51, ""', '"")"),"[")</f>
        <v>[</v>
      </c>
      <c r="F51" s="6" t="str">
        <f>IFERROR(__xludf.DUMMYFUNCTION("""COMPUTED_VALUE"""),"dischargeEnteralFeedStart_day")</f>
        <v>dischargeEnteralFeedStart_day</v>
      </c>
      <c r="G51" s="6" t="str">
        <f>IFERROR(__xludf.DUMMYFUNCTION("""COMPUTED_VALUE"""),"dischargeTubeFeedingDuration_day")</f>
        <v>dischargeTubeFeedingDuration_day</v>
      </c>
      <c r="H51" s="6" t="str">
        <f>IFERROR(__xludf.DUMMYFUNCTION("""COMPUTED_VALUE"""),"dischargeFullNippleFeed")</f>
        <v>dischargeFullNippleFeed</v>
      </c>
      <c r="I51" s="6" t="str">
        <f>IFERROR(__xludf.DUMMYFUNCTION("""COMPUTED_VALUE"""),"dischargeFullNippleFeed_day")</f>
        <v>dischargeFullNippleFeed_day</v>
      </c>
      <c r="J51" s="6" t="str">
        <f>IFERROR(__xludf.DUMMYFUNCTION("""COMPUTED_VALUE"""),"dischargeNEC")</f>
        <v>dischargeNEC</v>
      </c>
      <c r="K51" s="6" t="str">
        <f>IFERROR(__xludf.DUMMYFUNCTION("""COMPUTED_VALUE"""),"dischargeHepaticDysfunction")</f>
        <v>dischargeHepaticDysfunction</v>
      </c>
      <c r="L51" s="6" t="str">
        <f>IFERROR(__xludf.DUMMYFUNCTION("""COMPUTED_VALUE"""),"]")</f>
        <v>]</v>
      </c>
    </row>
    <row r="52">
      <c r="A52" s="1" t="str">
        <f>'01-number of variables'!A52</f>
        <v>04-08-skin.csv</v>
      </c>
      <c r="B52" s="1">
        <f>'01-number of variables'!B52</f>
        <v>13</v>
      </c>
      <c r="C52" s="1" t="str">
        <f>'01-number of variables'!C52</f>
        <v>['dischargeAlteredSkinItegrityPostIntervention', 'dischargeErythema', 'dischargeErythemaOnsetDate', 'dischargeErythemaResolveDate', 'dischargeSclerema', 'dischargeScleremaOnsetDate', 'dischargeScleremaResolveDate', 'dischargeCyanosis', 'dischargeCyanosisOnsetDate', 'dischargeCyanosisResolveDate', 'dischargeSubFatNecrosis', 'dischargeSubFatNecrosisOnsetDate', 'dischargeSubFatNecrosisResolveDate']</v>
      </c>
      <c r="D52" s="1" t="str">
        <f>'01-number of variables'!D53</f>
        <v/>
      </c>
      <c r="E52" s="1" t="str">
        <f>IFERROR(__xludf.DUMMYFUNCTION("split(C52, ""', '"")"),"[")</f>
        <v>[</v>
      </c>
      <c r="F52" s="6" t="str">
        <f>IFERROR(__xludf.DUMMYFUNCTION("""COMPUTED_VALUE"""),"dischargeAlteredSkinItegrityPostIntervention")</f>
        <v>dischargeAlteredSkinItegrityPostIntervention</v>
      </c>
      <c r="G52" s="6" t="str">
        <f>IFERROR(__xludf.DUMMYFUNCTION("""COMPUTED_VALUE"""),"dischargeErythema")</f>
        <v>dischargeErythema</v>
      </c>
      <c r="H52" s="6" t="str">
        <f>IFERROR(__xludf.DUMMYFUNCTION("""COMPUTED_VALUE"""),"dischargeErythemaOnsetDate")</f>
        <v>dischargeErythemaOnsetDate</v>
      </c>
      <c r="I52" s="6" t="str">
        <f>IFERROR(__xludf.DUMMYFUNCTION("""COMPUTED_VALUE"""),"dischargeErythemaResolveDate")</f>
        <v>dischargeErythemaResolveDate</v>
      </c>
      <c r="J52" s="6" t="str">
        <f>IFERROR(__xludf.DUMMYFUNCTION("""COMPUTED_VALUE"""),"dischargeSclerema")</f>
        <v>dischargeSclerema</v>
      </c>
      <c r="K52" s="6" t="str">
        <f>IFERROR(__xludf.DUMMYFUNCTION("""COMPUTED_VALUE"""),"dischargeScleremaOnsetDate")</f>
        <v>dischargeScleremaOnsetDate</v>
      </c>
      <c r="L52" s="6" t="str">
        <f>IFERROR(__xludf.DUMMYFUNCTION("""COMPUTED_VALUE"""),"dischargeScleremaResolveDate")</f>
        <v>dischargeScleremaResolveDate</v>
      </c>
      <c r="M52" s="6" t="str">
        <f>IFERROR(__xludf.DUMMYFUNCTION("""COMPUTED_VALUE"""),"dischargeCyanosis")</f>
        <v>dischargeCyanosis</v>
      </c>
      <c r="N52" s="6" t="str">
        <f>IFERROR(__xludf.DUMMYFUNCTION("""COMPUTED_VALUE"""),"dischargeCyanosisOnsetDate")</f>
        <v>dischargeCyanosisOnsetDate</v>
      </c>
      <c r="O52" s="6" t="str">
        <f>IFERROR(__xludf.DUMMYFUNCTION("""COMPUTED_VALUE"""),"dischargeCyanosisResolveDate")</f>
        <v>dischargeCyanosisResolveDate</v>
      </c>
      <c r="P52" s="6" t="str">
        <f>IFERROR(__xludf.DUMMYFUNCTION("""COMPUTED_VALUE"""),"dischargeSubFatNecrosis")</f>
        <v>dischargeSubFatNecrosis</v>
      </c>
      <c r="Q52" s="6" t="str">
        <f>IFERROR(__xludf.DUMMYFUNCTION("""COMPUTED_VALUE"""),"dischargeSubFatNecrosisOnsetDate")</f>
        <v>dischargeSubFatNecrosisOnsetDate</v>
      </c>
      <c r="R52" s="6" t="str">
        <f>IFERROR(__xludf.DUMMYFUNCTION("""COMPUTED_VALUE"""),"dischargeSubFatNecrosisResolveDate")</f>
        <v>dischargeSubFatNecrosisResolveDate</v>
      </c>
      <c r="S52" s="6" t="str">
        <f>IFERROR(__xludf.DUMMYFUNCTION("""COMPUTED_VALUE"""),"]")</f>
        <v>]</v>
      </c>
    </row>
    <row r="53">
      <c r="A53" s="1" t="str">
        <f>'01-number of variables'!A53</f>
        <v>04-09-auditory.csv</v>
      </c>
      <c r="B53" s="1">
        <f>'01-number of variables'!B53</f>
        <v>2</v>
      </c>
      <c r="C53" s="1" t="str">
        <f>'01-number of variables'!C53</f>
        <v>['dischargeHearingTest', 'dischargeHearingTestNormal']</v>
      </c>
      <c r="D53" s="1" t="str">
        <f>'01-number of variables'!D54</f>
        <v/>
      </c>
      <c r="E53" s="1" t="str">
        <f>IFERROR(__xludf.DUMMYFUNCTION("split(C53, ""', '"")"),"[")</f>
        <v>[</v>
      </c>
      <c r="F53" s="6" t="str">
        <f>IFERROR(__xludf.DUMMYFUNCTION("""COMPUTED_VALUE"""),"dischargeHearingTest")</f>
        <v>dischargeHearingTest</v>
      </c>
      <c r="G53" s="6" t="str">
        <f>IFERROR(__xludf.DUMMYFUNCTION("""COMPUTED_VALUE"""),"dischargeHearingTestNormal")</f>
        <v>dischargeHearingTestNormal</v>
      </c>
      <c r="H53" s="6" t="str">
        <f>IFERROR(__xludf.DUMMYFUNCTION("""COMPUTED_VALUE"""),"]")</f>
        <v>]</v>
      </c>
    </row>
    <row r="54">
      <c r="A54" s="1" t="str">
        <f>'01-number of variables'!A54</f>
        <v>04-10-surgery.csv</v>
      </c>
      <c r="B54" s="1">
        <f>'01-number of variables'!B54</f>
        <v>2</v>
      </c>
      <c r="C54" s="1" t="str">
        <f>'01-number of variables'!C54</f>
        <v>['dischargeMajorSurgery', 'dischargeSurgeryCode1']</v>
      </c>
      <c r="D54" s="1" t="str">
        <f>'01-number of variables'!D55</f>
        <v/>
      </c>
      <c r="E54" s="1" t="str">
        <f>IFERROR(__xludf.DUMMYFUNCTION("split(C54, ""', '"")"),"[")</f>
        <v>[</v>
      </c>
      <c r="F54" s="6" t="str">
        <f>IFERROR(__xludf.DUMMYFUNCTION("""COMPUTED_VALUE"""),"dischargeMajorSurgery")</f>
        <v>dischargeMajorSurgery</v>
      </c>
      <c r="G54" s="6" t="str">
        <f>IFERROR(__xludf.DUMMYFUNCTION("""COMPUTED_VALUE"""),"dischargeSurgeryCode1")</f>
        <v>dischargeSurgeryCode1</v>
      </c>
      <c r="H54" s="6" t="str">
        <f>IFERROR(__xludf.DUMMYFUNCTION("""COMPUTED_VALUE"""),"]")</f>
        <v>]</v>
      </c>
    </row>
    <row r="55">
      <c r="A55" s="1" t="str">
        <f>'01-number of variables'!A55</f>
        <v>04-11-infection.csv</v>
      </c>
      <c r="B55" s="1">
        <f>'01-number of variables'!B55</f>
        <v>4</v>
      </c>
      <c r="C55" s="1" t="str">
        <f>'01-number of variables'!C55</f>
        <v>['dischargeSepticemia', 'dischargeSepticemiaOrganismCode1', 'dischargeMeningitisEncephalitis', 'dischargeMeningitisOrganismCode1']</v>
      </c>
      <c r="D55" s="1" t="str">
        <f>'01-number of variables'!D56</f>
        <v/>
      </c>
      <c r="E55" s="1" t="str">
        <f>IFERROR(__xludf.DUMMYFUNCTION("split(C55, ""', '"")"),"[")</f>
        <v>[</v>
      </c>
      <c r="F55" s="6" t="str">
        <f>IFERROR(__xludf.DUMMYFUNCTION("""COMPUTED_VALUE"""),"dischargeSepticemia")</f>
        <v>dischargeSepticemia</v>
      </c>
      <c r="G55" s="6" t="str">
        <f>IFERROR(__xludf.DUMMYFUNCTION("""COMPUTED_VALUE"""),"dischargeSepticemiaOrganismCode1")</f>
        <v>dischargeSepticemiaOrganismCode1</v>
      </c>
      <c r="H55" s="6" t="str">
        <f>IFERROR(__xludf.DUMMYFUNCTION("""COMPUTED_VALUE"""),"dischargeMeningitisEncephalitis")</f>
        <v>dischargeMeningitisEncephalitis</v>
      </c>
      <c r="I55" s="6" t="str">
        <f>IFERROR(__xludf.DUMMYFUNCTION("""COMPUTED_VALUE"""),"dischargeMeningitisOrganismCode1")</f>
        <v>dischargeMeningitisOrganismCode1</v>
      </c>
      <c r="J55" s="6" t="str">
        <f>IFERROR(__xludf.DUMMYFUNCTION("""COMPUTED_VALUE"""),"]")</f>
        <v>]</v>
      </c>
    </row>
    <row r="56">
      <c r="A56" s="1" t="str">
        <f>'01-number of variables'!A56</f>
        <v>04-12-neuro-exam.csv</v>
      </c>
      <c r="B56" s="1">
        <f>'01-number of variables'!B56</f>
        <v>19</v>
      </c>
      <c r="C56" s="1" t="str">
        <f>'01-number of variables'!C56</f>
        <v>['dischargeNeuroExamDate', 'dischargeNeuroExamTime', 'dischargeNeuroExamLevelConsciousness', 'dischargeNeuroExamSpontaneousActivity', 'dischargeNeuroExamPosture', 'dischargeNeuroExamTone', 'dischargeNeuroExamSuck', 'dischargeNeuroExamMoro', 'dischargeNeuroExamPupils', 'dischargeNeuroExamHeartRate', 'dischargeNeuroExamRespiration', 'dischargeNeuroExamSeizure', 'dischargeNeuroExamClonusSustained', 'dischargeNeuroExamFistedHand', 'dischargeNeuroExamAbnormalMovement', 'dischargeNeuroExamGagReflexAbsent', 'dischargeNeuroExamSedate', 'dischargeNeuroExamHypertonia', 'dischargeNeuroExamAsymTonicNeckReflex']</v>
      </c>
      <c r="D56" s="1" t="str">
        <f>'01-number of variables'!D57</f>
        <v/>
      </c>
      <c r="E56" s="1" t="str">
        <f>IFERROR(__xludf.DUMMYFUNCTION("split(C56, ""', '"")"),"[")</f>
        <v>[</v>
      </c>
      <c r="F56" s="6" t="str">
        <f>IFERROR(__xludf.DUMMYFUNCTION("""COMPUTED_VALUE"""),"dischargeNeuroExamDate")</f>
        <v>dischargeNeuroExamDate</v>
      </c>
      <c r="G56" s="6" t="str">
        <f>IFERROR(__xludf.DUMMYFUNCTION("""COMPUTED_VALUE"""),"dischargeNeuroExamTime")</f>
        <v>dischargeNeuroExamTime</v>
      </c>
      <c r="H56" s="6" t="str">
        <f>IFERROR(__xludf.DUMMYFUNCTION("""COMPUTED_VALUE"""),"dischargeNeuroExamLevelConsciousness")</f>
        <v>dischargeNeuroExamLevelConsciousness</v>
      </c>
      <c r="I56" s="6" t="str">
        <f>IFERROR(__xludf.DUMMYFUNCTION("""COMPUTED_VALUE"""),"dischargeNeuroExamSpontaneousActivity")</f>
        <v>dischargeNeuroExamSpontaneousActivity</v>
      </c>
      <c r="J56" s="6" t="str">
        <f>IFERROR(__xludf.DUMMYFUNCTION("""COMPUTED_VALUE"""),"dischargeNeuroExamPosture")</f>
        <v>dischargeNeuroExamPosture</v>
      </c>
      <c r="K56" s="6" t="str">
        <f>IFERROR(__xludf.DUMMYFUNCTION("""COMPUTED_VALUE"""),"dischargeNeuroExamTone")</f>
        <v>dischargeNeuroExamTone</v>
      </c>
      <c r="L56" s="6" t="str">
        <f>IFERROR(__xludf.DUMMYFUNCTION("""COMPUTED_VALUE"""),"dischargeNeuroExamSuck")</f>
        <v>dischargeNeuroExamSuck</v>
      </c>
      <c r="M56" s="6" t="str">
        <f>IFERROR(__xludf.DUMMYFUNCTION("""COMPUTED_VALUE"""),"dischargeNeuroExamMoro")</f>
        <v>dischargeNeuroExamMoro</v>
      </c>
      <c r="N56" s="6" t="str">
        <f>IFERROR(__xludf.DUMMYFUNCTION("""COMPUTED_VALUE"""),"dischargeNeuroExamPupils")</f>
        <v>dischargeNeuroExamPupils</v>
      </c>
      <c r="O56" s="6" t="str">
        <f>IFERROR(__xludf.DUMMYFUNCTION("""COMPUTED_VALUE"""),"dischargeNeuroExamHeartRate")</f>
        <v>dischargeNeuroExamHeartRate</v>
      </c>
      <c r="P56" s="6" t="str">
        <f>IFERROR(__xludf.DUMMYFUNCTION("""COMPUTED_VALUE"""),"dischargeNeuroExamRespiration")</f>
        <v>dischargeNeuroExamRespiration</v>
      </c>
      <c r="Q56" s="6" t="str">
        <f>IFERROR(__xludf.DUMMYFUNCTION("""COMPUTED_VALUE"""),"dischargeNeuroExamSeizure")</f>
        <v>dischargeNeuroExamSeizure</v>
      </c>
      <c r="R56" s="6" t="str">
        <f>IFERROR(__xludf.DUMMYFUNCTION("""COMPUTED_VALUE"""),"dischargeNeuroExamClonusSustained")</f>
        <v>dischargeNeuroExamClonusSustained</v>
      </c>
      <c r="S56" s="6" t="str">
        <f>IFERROR(__xludf.DUMMYFUNCTION("""COMPUTED_VALUE"""),"dischargeNeuroExamFistedHand")</f>
        <v>dischargeNeuroExamFistedHand</v>
      </c>
      <c r="T56" s="6" t="str">
        <f>IFERROR(__xludf.DUMMYFUNCTION("""COMPUTED_VALUE"""),"dischargeNeuroExamAbnormalMovement")</f>
        <v>dischargeNeuroExamAbnormalMovement</v>
      </c>
      <c r="U56" s="6" t="str">
        <f>IFERROR(__xludf.DUMMYFUNCTION("""COMPUTED_VALUE"""),"dischargeNeuroExamGagReflexAbsent")</f>
        <v>dischargeNeuroExamGagReflexAbsent</v>
      </c>
      <c r="V56" s="6" t="str">
        <f>IFERROR(__xludf.DUMMYFUNCTION("""COMPUTED_VALUE"""),"dischargeNeuroExamSedate")</f>
        <v>dischargeNeuroExamSedate</v>
      </c>
      <c r="W56" s="6" t="str">
        <f>IFERROR(__xludf.DUMMYFUNCTION("""COMPUTED_VALUE"""),"dischargeNeuroExamHypertonia")</f>
        <v>dischargeNeuroExamHypertonia</v>
      </c>
      <c r="X56" s="6" t="str">
        <f>IFERROR(__xludf.DUMMYFUNCTION("""COMPUTED_VALUE"""),"dischargeNeuroExamAsymTonicNeckReflex")</f>
        <v>dischargeNeuroExamAsymTonicNeckReflex</v>
      </c>
      <c r="Y56" s="6" t="str">
        <f>IFERROR(__xludf.DUMMYFUNCTION("""COMPUTED_VALUE"""),"]")</f>
        <v>]</v>
      </c>
    </row>
    <row r="57">
      <c r="A57" s="1" t="str">
        <f>'01-number of variables'!A57</f>
        <v>04-12_1-total-modified-sarnat.csv</v>
      </c>
      <c r="B57" s="1">
        <f>'01-number of variables'!B57</f>
        <v>3</v>
      </c>
      <c r="C57" s="1" t="str">
        <f>'01-number of variables'!C57</f>
        <v>['dischargeNeuroExamReflexScore', 'dischargeNeuroExamANSScore', 'dischargeTotalModifiedSarnatScore']</v>
      </c>
      <c r="D57" s="1" t="str">
        <f>'01-number of variables'!D58</f>
        <v/>
      </c>
      <c r="E57" s="1" t="str">
        <f>IFERROR(__xludf.DUMMYFUNCTION("split(C57, ""', '"")"),"[")</f>
        <v>[</v>
      </c>
      <c r="F57" s="6" t="str">
        <f>IFERROR(__xludf.DUMMYFUNCTION("""COMPUTED_VALUE"""),"dischargeNeuroExamReflexScore")</f>
        <v>dischargeNeuroExamReflexScore</v>
      </c>
      <c r="G57" s="6" t="str">
        <f>IFERROR(__xludf.DUMMYFUNCTION("""COMPUTED_VALUE"""),"dischargeNeuroExamANSScore")</f>
        <v>dischargeNeuroExamANSScore</v>
      </c>
      <c r="H57" s="6" t="str">
        <f>IFERROR(__xludf.DUMMYFUNCTION("""COMPUTED_VALUE"""),"dischargeTotalModifiedSarnatScore")</f>
        <v>dischargeTotalModifiedSarnatScore</v>
      </c>
      <c r="I57" s="6" t="str">
        <f>IFERROR(__xludf.DUMMYFUNCTION("""COMPUTED_VALUE"""),"]")</f>
        <v>]</v>
      </c>
    </row>
    <row r="58">
      <c r="A58" s="1" t="str">
        <f>'01-number of variables'!A58</f>
        <v>04-13-seizure.csv</v>
      </c>
      <c r="B58" s="1">
        <f>'01-number of variables'!B58</f>
        <v>15</v>
      </c>
      <c r="C58" s="1" t="str">
        <f>'01-number of variables'!C58</f>
        <v>['dischargeSeizure', 'dischargeSeizurePreIntervention', 'dischargeSeizureAfterBaseline', 'dischargeSeizureMaintenance', 'dischargeSeizureRewarming', 'dischargeSeizurePostIntervention', 'dischargeEEG', 'dischargeEEGFindingConsistentWithSeizure', 'dischargeEEGFindingConsistentWithSeizureDate', 'dischargeEEGFindingConsistentWithSeizureTime', 'dischargeEEGAbnormalBackgroundActivity', 'dischargeEEGAbnormalBackgroundActivityDate', 'dischargeEEGAbnormalBackgroundActivityTime', 'dischargeAnticonvulsantsGreater72H', 'dischargeAnticonvulsants']</v>
      </c>
      <c r="D58" s="1" t="str">
        <f>'01-number of variables'!D59</f>
        <v/>
      </c>
      <c r="E58" s="1" t="str">
        <f>IFERROR(__xludf.DUMMYFUNCTION("split(C58, ""', '"")"),"[")</f>
        <v>[</v>
      </c>
      <c r="F58" s="6" t="str">
        <f>IFERROR(__xludf.DUMMYFUNCTION("""COMPUTED_VALUE"""),"dischargeSeizure")</f>
        <v>dischargeSeizure</v>
      </c>
      <c r="G58" s="6" t="str">
        <f>IFERROR(__xludf.DUMMYFUNCTION("""COMPUTED_VALUE"""),"dischargeSeizurePreIntervention")</f>
        <v>dischargeSeizurePreIntervention</v>
      </c>
      <c r="H58" s="6" t="str">
        <f>IFERROR(__xludf.DUMMYFUNCTION("""COMPUTED_VALUE"""),"dischargeSeizureAfterBaseline")</f>
        <v>dischargeSeizureAfterBaseline</v>
      </c>
      <c r="I58" s="6" t="str">
        <f>IFERROR(__xludf.DUMMYFUNCTION("""COMPUTED_VALUE"""),"dischargeSeizureMaintenance")</f>
        <v>dischargeSeizureMaintenance</v>
      </c>
      <c r="J58" s="6" t="str">
        <f>IFERROR(__xludf.DUMMYFUNCTION("""COMPUTED_VALUE"""),"dischargeSeizureRewarming")</f>
        <v>dischargeSeizureRewarming</v>
      </c>
      <c r="K58" s="6" t="str">
        <f>IFERROR(__xludf.DUMMYFUNCTION("""COMPUTED_VALUE"""),"dischargeSeizurePostIntervention")</f>
        <v>dischargeSeizurePostIntervention</v>
      </c>
      <c r="L58" s="6" t="str">
        <f>IFERROR(__xludf.DUMMYFUNCTION("""COMPUTED_VALUE"""),"dischargeEEG")</f>
        <v>dischargeEEG</v>
      </c>
      <c r="M58" s="6" t="str">
        <f>IFERROR(__xludf.DUMMYFUNCTION("""COMPUTED_VALUE"""),"dischargeEEGFindingConsistentWithSeizure")</f>
        <v>dischargeEEGFindingConsistentWithSeizure</v>
      </c>
      <c r="N58" s="6" t="str">
        <f>IFERROR(__xludf.DUMMYFUNCTION("""COMPUTED_VALUE"""),"dischargeEEGFindingConsistentWithSeizureDate")</f>
        <v>dischargeEEGFindingConsistentWithSeizureDate</v>
      </c>
      <c r="O58" s="6" t="str">
        <f>IFERROR(__xludf.DUMMYFUNCTION("""COMPUTED_VALUE"""),"dischargeEEGFindingConsistentWithSeizureTime")</f>
        <v>dischargeEEGFindingConsistentWithSeizureTime</v>
      </c>
      <c r="P58" s="6" t="str">
        <f>IFERROR(__xludf.DUMMYFUNCTION("""COMPUTED_VALUE"""),"dischargeEEGAbnormalBackgroundActivity")</f>
        <v>dischargeEEGAbnormalBackgroundActivity</v>
      </c>
      <c r="Q58" s="6" t="str">
        <f>IFERROR(__xludf.DUMMYFUNCTION("""COMPUTED_VALUE"""),"dischargeEEGAbnormalBackgroundActivityDate")</f>
        <v>dischargeEEGAbnormalBackgroundActivityDate</v>
      </c>
      <c r="R58" s="6" t="str">
        <f>IFERROR(__xludf.DUMMYFUNCTION("""COMPUTED_VALUE"""),"dischargeEEGAbnormalBackgroundActivityTime")</f>
        <v>dischargeEEGAbnormalBackgroundActivityTime</v>
      </c>
      <c r="S58" s="6" t="str">
        <f>IFERROR(__xludf.DUMMYFUNCTION("""COMPUTED_VALUE"""),"dischargeAnticonvulsantsGreater72H")</f>
        <v>dischargeAnticonvulsantsGreater72H</v>
      </c>
      <c r="T58" s="6" t="str">
        <f>IFERROR(__xludf.DUMMYFUNCTION("""COMPUTED_VALUE"""),"dischargeAnticonvulsants")</f>
        <v>dischargeAnticonvulsants</v>
      </c>
      <c r="U58" s="6" t="str">
        <f>IFERROR(__xludf.DUMMYFUNCTION("""COMPUTED_VALUE"""),"]")</f>
        <v>]</v>
      </c>
    </row>
    <row r="59">
      <c r="A59" s="1" t="str">
        <f>'01-number of variables'!A59</f>
        <v>04-14-birth-defect.csv</v>
      </c>
      <c r="B59" s="1">
        <f>'01-number of variables'!B59</f>
        <v>2</v>
      </c>
      <c r="C59" s="1" t="str">
        <f>'01-number of variables'!C59</f>
        <v>['dischargeSyndromeMalformation', 'dischargeBirthDefectCode1']</v>
      </c>
      <c r="D59" s="1" t="str">
        <f>'01-number of variables'!D60</f>
        <v/>
      </c>
      <c r="E59" s="1" t="str">
        <f>IFERROR(__xludf.DUMMYFUNCTION("split(C59, ""', '"")"),"[")</f>
        <v>[</v>
      </c>
      <c r="F59" s="6" t="str">
        <f>IFERROR(__xludf.DUMMYFUNCTION("""COMPUTED_VALUE"""),"dischargeSyndromeMalformation")</f>
        <v>dischargeSyndromeMalformation</v>
      </c>
      <c r="G59" s="6" t="str">
        <f>IFERROR(__xludf.DUMMYFUNCTION("""COMPUTED_VALUE"""),"dischargeBirthDefectCode1")</f>
        <v>dischargeBirthDefectCode1</v>
      </c>
      <c r="H59" s="6" t="str">
        <f>IFERROR(__xludf.DUMMYFUNCTION("""COMPUTED_VALUE"""),"]")</f>
        <v>]</v>
      </c>
    </row>
    <row r="60">
      <c r="A60" s="1" t="str">
        <f>'01-number of variables'!A60</f>
        <v>04-15-home-therapy.csv</v>
      </c>
      <c r="B60" s="1">
        <f>'01-number of variables'!B60</f>
        <v>9</v>
      </c>
      <c r="C60" s="1" t="str">
        <f>'01-number of variables'!C60</f>
        <v>['dischargeHomeTherapy', 'dischargeHomeTherapyVentilator', 'dischargeHomeTherapyOxygen', 'dischargeHomeTherapyGavageTubeFeed', 'dischargeHomeTherapyGastrostomyTubeFeed', 'dischargeHomeTherapyTemperatureBlanket', 'dischargeHomeTherapyAnticonvulsantMedication', 'dischargeHomeTherapyOther', 'dischargeHomeTherapyOtherText']</v>
      </c>
      <c r="D60" s="1" t="str">
        <f>'01-number of variables'!D61</f>
        <v/>
      </c>
      <c r="E60" s="1" t="str">
        <f>IFERROR(__xludf.DUMMYFUNCTION("split(C60, ""', '"")"),"[")</f>
        <v>[</v>
      </c>
      <c r="F60" s="6" t="str">
        <f>IFERROR(__xludf.DUMMYFUNCTION("""COMPUTED_VALUE"""),"dischargeHomeTherapy")</f>
        <v>dischargeHomeTherapy</v>
      </c>
      <c r="G60" s="6" t="str">
        <f>IFERROR(__xludf.DUMMYFUNCTION("""COMPUTED_VALUE"""),"dischargeHomeTherapyVentilator")</f>
        <v>dischargeHomeTherapyVentilator</v>
      </c>
      <c r="H60" s="6" t="str">
        <f>IFERROR(__xludf.DUMMYFUNCTION("""COMPUTED_VALUE"""),"dischargeHomeTherapyOxygen")</f>
        <v>dischargeHomeTherapyOxygen</v>
      </c>
      <c r="I60" s="6" t="str">
        <f>IFERROR(__xludf.DUMMYFUNCTION("""COMPUTED_VALUE"""),"dischargeHomeTherapyGavageTubeFeed")</f>
        <v>dischargeHomeTherapyGavageTubeFeed</v>
      </c>
      <c r="J60" s="6" t="str">
        <f>IFERROR(__xludf.DUMMYFUNCTION("""COMPUTED_VALUE"""),"dischargeHomeTherapyGastrostomyTubeFeed")</f>
        <v>dischargeHomeTherapyGastrostomyTubeFeed</v>
      </c>
      <c r="K60" s="6" t="str">
        <f>IFERROR(__xludf.DUMMYFUNCTION("""COMPUTED_VALUE"""),"dischargeHomeTherapyTemperatureBlanket")</f>
        <v>dischargeHomeTherapyTemperatureBlanket</v>
      </c>
      <c r="L60" s="6" t="str">
        <f>IFERROR(__xludf.DUMMYFUNCTION("""COMPUTED_VALUE"""),"dischargeHomeTherapyAnticonvulsantMedication")</f>
        <v>dischargeHomeTherapyAnticonvulsantMedication</v>
      </c>
      <c r="M60" s="6" t="str">
        <f>IFERROR(__xludf.DUMMYFUNCTION("""COMPUTED_VALUE"""),"dischargeHomeTherapyOther")</f>
        <v>dischargeHomeTherapyOther</v>
      </c>
      <c r="N60" s="6" t="str">
        <f>IFERROR(__xludf.DUMMYFUNCTION("""COMPUTED_VALUE"""),"dischargeHomeTherapyOtherText")</f>
        <v>dischargeHomeTherapyOtherText</v>
      </c>
      <c r="O60" s="6" t="str">
        <f>IFERROR(__xludf.DUMMYFUNCTION("""COMPUTED_VALUE"""),"]")</f>
        <v>]</v>
      </c>
    </row>
    <row r="61">
      <c r="A61" s="1" t="str">
        <f>'01-number of variables'!A61</f>
        <v>04-16-wdraw-support.csv</v>
      </c>
      <c r="B61" s="1">
        <f>'01-number of variables'!B61</f>
        <v>13</v>
      </c>
      <c r="C61" s="1" t="str">
        <f>'01-number of variables'!C61</f>
        <v>['wdrawSupport', 'wdrawSupportDate', 'wdrawSupportTime', 'wdrawSupportDiscussedWithFamily', 'wdrawSupportRecommendSolelyByClinicalTeam', 'wdrawSupportNeurologicalExam', 'wdrawSupportImagingStudy', 'wdrawSupportEEGFinding', 'wdrawSupportMultisystemOrganFailureOtherThanCNS', 'wdrawSupportBrainBloodFlowScan', 'wdrawSupportParentWish', 'wdrawSupportOther', 'wdrawSupportOtherText']</v>
      </c>
      <c r="D61" s="1" t="str">
        <f>'01-number of variables'!D62</f>
        <v/>
      </c>
      <c r="E61" s="1" t="str">
        <f>IFERROR(__xludf.DUMMYFUNCTION("split(C61, ""', '"")"),"[")</f>
        <v>[</v>
      </c>
      <c r="F61" s="6" t="str">
        <f>IFERROR(__xludf.DUMMYFUNCTION("""COMPUTED_VALUE"""),"wdrawSupport")</f>
        <v>wdrawSupport</v>
      </c>
      <c r="G61" s="6" t="str">
        <f>IFERROR(__xludf.DUMMYFUNCTION("""COMPUTED_VALUE"""),"wdrawSupportDate")</f>
        <v>wdrawSupportDate</v>
      </c>
      <c r="H61" s="6" t="str">
        <f>IFERROR(__xludf.DUMMYFUNCTION("""COMPUTED_VALUE"""),"wdrawSupportTime")</f>
        <v>wdrawSupportTime</v>
      </c>
      <c r="I61" s="6" t="str">
        <f>IFERROR(__xludf.DUMMYFUNCTION("""COMPUTED_VALUE"""),"wdrawSupportDiscussedWithFamily")</f>
        <v>wdrawSupportDiscussedWithFamily</v>
      </c>
      <c r="J61" s="6" t="str">
        <f>IFERROR(__xludf.DUMMYFUNCTION("""COMPUTED_VALUE"""),"wdrawSupportRecommendSolelyByClinicalTeam")</f>
        <v>wdrawSupportRecommendSolelyByClinicalTeam</v>
      </c>
      <c r="K61" s="6" t="str">
        <f>IFERROR(__xludf.DUMMYFUNCTION("""COMPUTED_VALUE"""),"wdrawSupportNeurologicalExam")</f>
        <v>wdrawSupportNeurologicalExam</v>
      </c>
      <c r="L61" s="6" t="str">
        <f>IFERROR(__xludf.DUMMYFUNCTION("""COMPUTED_VALUE"""),"wdrawSupportImagingStudy")</f>
        <v>wdrawSupportImagingStudy</v>
      </c>
      <c r="M61" s="6" t="str">
        <f>IFERROR(__xludf.DUMMYFUNCTION("""COMPUTED_VALUE"""),"wdrawSupportEEGFinding")</f>
        <v>wdrawSupportEEGFinding</v>
      </c>
      <c r="N61" s="6" t="str">
        <f>IFERROR(__xludf.DUMMYFUNCTION("""COMPUTED_VALUE"""),"wdrawSupportMultisystemOrganFailureOtherThanCNS")</f>
        <v>wdrawSupportMultisystemOrganFailureOtherThanCNS</v>
      </c>
      <c r="O61" s="6" t="str">
        <f>IFERROR(__xludf.DUMMYFUNCTION("""COMPUTED_VALUE"""),"wdrawSupportBrainBloodFlowScan")</f>
        <v>wdrawSupportBrainBloodFlowScan</v>
      </c>
      <c r="P61" s="6" t="str">
        <f>IFERROR(__xludf.DUMMYFUNCTION("""COMPUTED_VALUE"""),"wdrawSupportParentWish")</f>
        <v>wdrawSupportParentWish</v>
      </c>
      <c r="Q61" s="6" t="str">
        <f>IFERROR(__xludf.DUMMYFUNCTION("""COMPUTED_VALUE"""),"wdrawSupportOther")</f>
        <v>wdrawSupportOther</v>
      </c>
      <c r="R61" s="6" t="str">
        <f>IFERROR(__xludf.DUMMYFUNCTION("""COMPUTED_VALUE"""),"wdrawSupportOtherText")</f>
        <v>wdrawSupportOtherText</v>
      </c>
      <c r="S61" s="6" t="str">
        <f>IFERROR(__xludf.DUMMYFUNCTION("""COMPUTED_VALUE"""),"]")</f>
        <v>]</v>
      </c>
    </row>
    <row r="62">
      <c r="A62" s="1" t="str">
        <f>'01-number of variables'!A62</f>
        <v>04-17-limit-care.csv</v>
      </c>
      <c r="B62" s="1">
        <f>'01-number of variables'!B62</f>
        <v>11</v>
      </c>
      <c r="C62" s="1" t="str">
        <f>'01-number of variables'!C62</f>
        <v>['limitCareDiscussedWithFamily', 'limitCareRecommendSolelyByClinicalTeam', 'limitCareAgreedByFamilyAndCareTeam', 'limitCareNoFurtherMechanicalVentilationAndIntubation', 'limitCareNoFurtherVentilationWithBagAndMask', 'limitCareNoFurtherMedicationsToSupportBP', 'limitCareNoFurtherChestCompression', 'limitCareNoFurtherEmergencyMedication', 'limitCareDNR', 'limitCareDNRDate', 'limitCareDNRTime']</v>
      </c>
      <c r="D62" s="1" t="str">
        <f>'01-number of variables'!D63</f>
        <v/>
      </c>
      <c r="E62" s="1" t="str">
        <f>IFERROR(__xludf.DUMMYFUNCTION("split(C62, ""', '"")"),"[")</f>
        <v>[</v>
      </c>
      <c r="F62" s="6" t="str">
        <f>IFERROR(__xludf.DUMMYFUNCTION("""COMPUTED_VALUE"""),"limitCareDiscussedWithFamily")</f>
        <v>limitCareDiscussedWithFamily</v>
      </c>
      <c r="G62" s="6" t="str">
        <f>IFERROR(__xludf.DUMMYFUNCTION("""COMPUTED_VALUE"""),"limitCareRecommendSolelyByClinicalTeam")</f>
        <v>limitCareRecommendSolelyByClinicalTeam</v>
      </c>
      <c r="H62" s="6" t="str">
        <f>IFERROR(__xludf.DUMMYFUNCTION("""COMPUTED_VALUE"""),"limitCareAgreedByFamilyAndCareTeam")</f>
        <v>limitCareAgreedByFamilyAndCareTeam</v>
      </c>
      <c r="I62" s="6" t="str">
        <f>IFERROR(__xludf.DUMMYFUNCTION("""COMPUTED_VALUE"""),"limitCareNoFurtherMechanicalVentilationAndIntubation")</f>
        <v>limitCareNoFurtherMechanicalVentilationAndIntubation</v>
      </c>
      <c r="J62" s="6" t="str">
        <f>IFERROR(__xludf.DUMMYFUNCTION("""COMPUTED_VALUE"""),"limitCareNoFurtherVentilationWithBagAndMask")</f>
        <v>limitCareNoFurtherVentilationWithBagAndMask</v>
      </c>
      <c r="K62" s="6" t="str">
        <f>IFERROR(__xludf.DUMMYFUNCTION("""COMPUTED_VALUE"""),"limitCareNoFurtherMedicationsToSupportBP")</f>
        <v>limitCareNoFurtherMedicationsToSupportBP</v>
      </c>
      <c r="L62" s="6" t="str">
        <f>IFERROR(__xludf.DUMMYFUNCTION("""COMPUTED_VALUE"""),"limitCareNoFurtherChestCompression")</f>
        <v>limitCareNoFurtherChestCompression</v>
      </c>
      <c r="M62" s="6" t="str">
        <f>IFERROR(__xludf.DUMMYFUNCTION("""COMPUTED_VALUE"""),"limitCareNoFurtherEmergencyMedication")</f>
        <v>limitCareNoFurtherEmergencyMedication</v>
      </c>
      <c r="N62" s="6" t="str">
        <f>IFERROR(__xludf.DUMMYFUNCTION("""COMPUTED_VALUE"""),"limitCareDNR")</f>
        <v>limitCareDNR</v>
      </c>
      <c r="O62" s="6" t="str">
        <f>IFERROR(__xludf.DUMMYFUNCTION("""COMPUTED_VALUE"""),"limitCareDNRDate")</f>
        <v>limitCareDNRDate</v>
      </c>
      <c r="P62" s="6" t="str">
        <f>IFERROR(__xludf.DUMMYFUNCTION("""COMPUTED_VALUE"""),"limitCareDNRTime")</f>
        <v>limitCareDNRTime</v>
      </c>
      <c r="Q62" s="6" t="str">
        <f>IFERROR(__xludf.DUMMYFUNCTION("""COMPUTED_VALUE"""),"]")</f>
        <v>]</v>
      </c>
    </row>
    <row r="63">
      <c r="A63" s="1" t="str">
        <f>'01-number of variables'!A63</f>
        <v>20-00-follow-up.csv</v>
      </c>
      <c r="B63" s="1">
        <f>'01-number of variables'!B63</f>
        <v>0</v>
      </c>
      <c r="C63" s="1" t="str">
        <f>'01-number of variables'!C63</f>
        <v>[]</v>
      </c>
      <c r="E63" s="1" t="str">
        <f>IFERROR(__xludf.DUMMYFUNCTION("split(C63, ""', '"")"),"[]")</f>
        <v>[]</v>
      </c>
    </row>
    <row r="64">
      <c r="A64" s="1" t="str">
        <f>'01-number of variables'!A64</f>
        <v>20-01-ses.csv</v>
      </c>
      <c r="B64" s="1">
        <f>'01-number of variables'!B64</f>
        <v>73</v>
      </c>
      <c r="C64" s="1" t="str">
        <f>'01-number of variables'!C64</f>
        <v>['SESVisitDate', 'SESBirthDate', 'chronologicalAge_mo', 'correctedAge_mo', 'underStateSupervision', 'primaryCaretaker', 'otherCaretaker', 'maritalStatusPrimaryCaretaker', 'livingArrangementChild', 'numberPeopleInChildHousehold', 'otherContributeMoneyToChildHousehold', 'educationPrimaryCaretaker', 'educationOtherCaretaker', 'workPrimaryCaretaker', 'workOtherCaretaker', 'inSchoolPrimaryCaretaker', 'inSchoolOtherCaretaker', 'totalIncomeChildHousehold', 'medicalInsuranceChild', 'primaryLanguageChild', 'primaryLanguageChildOtherText', 'isSecondaryLanguageChild', 'secondaryLanguageChild', 'secondaryLanguageChildOtherText', 'numberPlaceChildLive', 'zipcode', 'visitingNurseReceive', 'visitingNurseNeed', 'homeNurseReceive', 'homeNurseNeed', 'otPtReceive', 'otPtNeed', 'speechTherapyReceive', 'speechTherapyNeed', 'earlyInterventionReceive', 'earlyInterventionNeed', 'socialWorkForChildReceive', 'socialWorkForChildNeed', 'specialClinicReceive', 'specialClinicNeed', 'pulmonaryReceive', 'pulmonaryNeed', 'ophthalmologicReceive', 'ophthalmologicNeed', 'gastrointestinalReceive', 'gastrointestinalNeed', 'audiologicReceive', 'audiologicNeed', 'neurologicReceive', 'neurologicNeed', 'otherReceive', 'otherNeed', 'otherNeedText', 'neurodevelopmentReceive', 'neurodevelopmentNeed', 'prematureFollowupClinicReceive', 'prematureFollowupClinicNeed', 'regularDoctor', 'resideChronicCareFacility', 'takenCareOfByOther', 'traditionalCenterCare', 'traditionalCenterCareAvgHrPerWeek', 'medicalChildCare', 'medicalChildCareAvgHrPerWeek', 'medicalChildCareWhere', 'traditionalHomeCare', 'traditionalHomeCareAvgHrPerWeek', 'traditionalHomeCareWhose', 'babysitter', 'babysitterAvgHrPerWeek', 'babysitterRelation', 'SESInterviewWhere', 'SESInterviewDate']</v>
      </c>
      <c r="E64" s="1" t="str">
        <f>IFERROR(__xludf.DUMMYFUNCTION("split(C64, ""', '"")"),"[")</f>
        <v>[</v>
      </c>
      <c r="F64" s="6" t="str">
        <f>IFERROR(__xludf.DUMMYFUNCTION("""COMPUTED_VALUE"""),"SESVisitDate")</f>
        <v>SESVisitDate</v>
      </c>
      <c r="G64" s="6" t="str">
        <f>IFERROR(__xludf.DUMMYFUNCTION("""COMPUTED_VALUE"""),"SESBirthDate")</f>
        <v>SESBirthDate</v>
      </c>
      <c r="H64" s="6" t="str">
        <f>IFERROR(__xludf.DUMMYFUNCTION("""COMPUTED_VALUE"""),"chronologicalAge_mo")</f>
        <v>chronologicalAge_mo</v>
      </c>
      <c r="I64" s="6" t="str">
        <f>IFERROR(__xludf.DUMMYFUNCTION("""COMPUTED_VALUE"""),"correctedAge_mo")</f>
        <v>correctedAge_mo</v>
      </c>
      <c r="J64" s="6" t="str">
        <f>IFERROR(__xludf.DUMMYFUNCTION("""COMPUTED_VALUE"""),"underStateSupervision")</f>
        <v>underStateSupervision</v>
      </c>
      <c r="K64" s="6" t="str">
        <f>IFERROR(__xludf.DUMMYFUNCTION("""COMPUTED_VALUE"""),"primaryCaretaker")</f>
        <v>primaryCaretaker</v>
      </c>
      <c r="L64" s="6" t="str">
        <f>IFERROR(__xludf.DUMMYFUNCTION("""COMPUTED_VALUE"""),"otherCaretaker")</f>
        <v>otherCaretaker</v>
      </c>
      <c r="M64" s="6" t="str">
        <f>IFERROR(__xludf.DUMMYFUNCTION("""COMPUTED_VALUE"""),"maritalStatusPrimaryCaretaker")</f>
        <v>maritalStatusPrimaryCaretaker</v>
      </c>
      <c r="N64" s="6" t="str">
        <f>IFERROR(__xludf.DUMMYFUNCTION("""COMPUTED_VALUE"""),"livingArrangementChild")</f>
        <v>livingArrangementChild</v>
      </c>
      <c r="O64" s="6" t="str">
        <f>IFERROR(__xludf.DUMMYFUNCTION("""COMPUTED_VALUE"""),"numberPeopleInChildHousehold")</f>
        <v>numberPeopleInChildHousehold</v>
      </c>
      <c r="P64" s="6" t="str">
        <f>IFERROR(__xludf.DUMMYFUNCTION("""COMPUTED_VALUE"""),"otherContributeMoneyToChildHousehold")</f>
        <v>otherContributeMoneyToChildHousehold</v>
      </c>
      <c r="Q64" s="6" t="str">
        <f>IFERROR(__xludf.DUMMYFUNCTION("""COMPUTED_VALUE"""),"educationPrimaryCaretaker")</f>
        <v>educationPrimaryCaretaker</v>
      </c>
      <c r="R64" s="6" t="str">
        <f>IFERROR(__xludf.DUMMYFUNCTION("""COMPUTED_VALUE"""),"educationOtherCaretaker")</f>
        <v>educationOtherCaretaker</v>
      </c>
      <c r="S64" s="6" t="str">
        <f>IFERROR(__xludf.DUMMYFUNCTION("""COMPUTED_VALUE"""),"workPrimaryCaretaker")</f>
        <v>workPrimaryCaretaker</v>
      </c>
      <c r="T64" s="6" t="str">
        <f>IFERROR(__xludf.DUMMYFUNCTION("""COMPUTED_VALUE"""),"workOtherCaretaker")</f>
        <v>workOtherCaretaker</v>
      </c>
      <c r="U64" s="6" t="str">
        <f>IFERROR(__xludf.DUMMYFUNCTION("""COMPUTED_VALUE"""),"inSchoolPrimaryCaretaker")</f>
        <v>inSchoolPrimaryCaretaker</v>
      </c>
      <c r="V64" s="6" t="str">
        <f>IFERROR(__xludf.DUMMYFUNCTION("""COMPUTED_VALUE"""),"inSchoolOtherCaretaker")</f>
        <v>inSchoolOtherCaretaker</v>
      </c>
      <c r="W64" s="6" t="str">
        <f>IFERROR(__xludf.DUMMYFUNCTION("""COMPUTED_VALUE"""),"totalIncomeChildHousehold")</f>
        <v>totalIncomeChildHousehold</v>
      </c>
      <c r="X64" s="6" t="str">
        <f>IFERROR(__xludf.DUMMYFUNCTION("""COMPUTED_VALUE"""),"medicalInsuranceChild")</f>
        <v>medicalInsuranceChild</v>
      </c>
      <c r="Y64" s="6" t="str">
        <f>IFERROR(__xludf.DUMMYFUNCTION("""COMPUTED_VALUE"""),"primaryLanguageChild")</f>
        <v>primaryLanguageChild</v>
      </c>
      <c r="Z64" s="6" t="str">
        <f>IFERROR(__xludf.DUMMYFUNCTION("""COMPUTED_VALUE"""),"primaryLanguageChildOtherText")</f>
        <v>primaryLanguageChildOtherText</v>
      </c>
      <c r="AA64" s="6" t="str">
        <f>IFERROR(__xludf.DUMMYFUNCTION("""COMPUTED_VALUE"""),"isSecondaryLanguageChild")</f>
        <v>isSecondaryLanguageChild</v>
      </c>
      <c r="AB64" s="6" t="str">
        <f>IFERROR(__xludf.DUMMYFUNCTION("""COMPUTED_VALUE"""),"secondaryLanguageChild")</f>
        <v>secondaryLanguageChild</v>
      </c>
      <c r="AC64" s="6" t="str">
        <f>IFERROR(__xludf.DUMMYFUNCTION("""COMPUTED_VALUE"""),"secondaryLanguageChildOtherText")</f>
        <v>secondaryLanguageChildOtherText</v>
      </c>
      <c r="AD64" s="6" t="str">
        <f>IFERROR(__xludf.DUMMYFUNCTION("""COMPUTED_VALUE"""),"numberPlaceChildLive")</f>
        <v>numberPlaceChildLive</v>
      </c>
      <c r="AE64" s="6" t="str">
        <f>IFERROR(__xludf.DUMMYFUNCTION("""COMPUTED_VALUE"""),"zipcode")</f>
        <v>zipcode</v>
      </c>
      <c r="AF64" s="6" t="str">
        <f>IFERROR(__xludf.DUMMYFUNCTION("""COMPUTED_VALUE"""),"visitingNurseReceive")</f>
        <v>visitingNurseReceive</v>
      </c>
      <c r="AG64" s="6" t="str">
        <f>IFERROR(__xludf.DUMMYFUNCTION("""COMPUTED_VALUE"""),"visitingNurseNeed")</f>
        <v>visitingNurseNeed</v>
      </c>
      <c r="AH64" s="6" t="str">
        <f>IFERROR(__xludf.DUMMYFUNCTION("""COMPUTED_VALUE"""),"homeNurseReceive")</f>
        <v>homeNurseReceive</v>
      </c>
      <c r="AI64" s="6" t="str">
        <f>IFERROR(__xludf.DUMMYFUNCTION("""COMPUTED_VALUE"""),"homeNurseNeed")</f>
        <v>homeNurseNeed</v>
      </c>
      <c r="AJ64" s="6" t="str">
        <f>IFERROR(__xludf.DUMMYFUNCTION("""COMPUTED_VALUE"""),"otPtReceive")</f>
        <v>otPtReceive</v>
      </c>
      <c r="AK64" s="6" t="str">
        <f>IFERROR(__xludf.DUMMYFUNCTION("""COMPUTED_VALUE"""),"otPtNeed")</f>
        <v>otPtNeed</v>
      </c>
      <c r="AL64" s="6" t="str">
        <f>IFERROR(__xludf.DUMMYFUNCTION("""COMPUTED_VALUE"""),"speechTherapyReceive")</f>
        <v>speechTherapyReceive</v>
      </c>
      <c r="AM64" s="6" t="str">
        <f>IFERROR(__xludf.DUMMYFUNCTION("""COMPUTED_VALUE"""),"speechTherapyNeed")</f>
        <v>speechTherapyNeed</v>
      </c>
      <c r="AN64" s="6" t="str">
        <f>IFERROR(__xludf.DUMMYFUNCTION("""COMPUTED_VALUE"""),"earlyInterventionReceive")</f>
        <v>earlyInterventionReceive</v>
      </c>
      <c r="AO64" s="6" t="str">
        <f>IFERROR(__xludf.DUMMYFUNCTION("""COMPUTED_VALUE"""),"earlyInterventionNeed")</f>
        <v>earlyInterventionNeed</v>
      </c>
      <c r="AP64" s="6" t="str">
        <f>IFERROR(__xludf.DUMMYFUNCTION("""COMPUTED_VALUE"""),"socialWorkForChildReceive")</f>
        <v>socialWorkForChildReceive</v>
      </c>
      <c r="AQ64" s="6" t="str">
        <f>IFERROR(__xludf.DUMMYFUNCTION("""COMPUTED_VALUE"""),"socialWorkForChildNeed")</f>
        <v>socialWorkForChildNeed</v>
      </c>
      <c r="AR64" s="6" t="str">
        <f>IFERROR(__xludf.DUMMYFUNCTION("""COMPUTED_VALUE"""),"specialClinicReceive")</f>
        <v>specialClinicReceive</v>
      </c>
      <c r="AS64" s="6" t="str">
        <f>IFERROR(__xludf.DUMMYFUNCTION("""COMPUTED_VALUE"""),"specialClinicNeed")</f>
        <v>specialClinicNeed</v>
      </c>
      <c r="AT64" s="6" t="str">
        <f>IFERROR(__xludf.DUMMYFUNCTION("""COMPUTED_VALUE"""),"pulmonaryReceive")</f>
        <v>pulmonaryReceive</v>
      </c>
      <c r="AU64" s="6" t="str">
        <f>IFERROR(__xludf.DUMMYFUNCTION("""COMPUTED_VALUE"""),"pulmonaryNeed")</f>
        <v>pulmonaryNeed</v>
      </c>
      <c r="AV64" s="6" t="str">
        <f>IFERROR(__xludf.DUMMYFUNCTION("""COMPUTED_VALUE"""),"ophthalmologicReceive")</f>
        <v>ophthalmologicReceive</v>
      </c>
      <c r="AW64" s="6" t="str">
        <f>IFERROR(__xludf.DUMMYFUNCTION("""COMPUTED_VALUE"""),"ophthalmologicNeed")</f>
        <v>ophthalmologicNeed</v>
      </c>
      <c r="AX64" s="6" t="str">
        <f>IFERROR(__xludf.DUMMYFUNCTION("""COMPUTED_VALUE"""),"gastrointestinalReceive")</f>
        <v>gastrointestinalReceive</v>
      </c>
      <c r="AY64" s="6" t="str">
        <f>IFERROR(__xludf.DUMMYFUNCTION("""COMPUTED_VALUE"""),"gastrointestinalNeed")</f>
        <v>gastrointestinalNeed</v>
      </c>
      <c r="AZ64" s="6" t="str">
        <f>IFERROR(__xludf.DUMMYFUNCTION("""COMPUTED_VALUE"""),"audiologicReceive")</f>
        <v>audiologicReceive</v>
      </c>
      <c r="BA64" s="6" t="str">
        <f>IFERROR(__xludf.DUMMYFUNCTION("""COMPUTED_VALUE"""),"audiologicNeed")</f>
        <v>audiologicNeed</v>
      </c>
      <c r="BB64" s="6" t="str">
        <f>IFERROR(__xludf.DUMMYFUNCTION("""COMPUTED_VALUE"""),"neurologicReceive")</f>
        <v>neurologicReceive</v>
      </c>
      <c r="BC64" s="6" t="str">
        <f>IFERROR(__xludf.DUMMYFUNCTION("""COMPUTED_VALUE"""),"neurologicNeed")</f>
        <v>neurologicNeed</v>
      </c>
      <c r="BD64" s="6" t="str">
        <f>IFERROR(__xludf.DUMMYFUNCTION("""COMPUTED_VALUE"""),"otherReceive")</f>
        <v>otherReceive</v>
      </c>
      <c r="BE64" s="6" t="str">
        <f>IFERROR(__xludf.DUMMYFUNCTION("""COMPUTED_VALUE"""),"otherNeed")</f>
        <v>otherNeed</v>
      </c>
      <c r="BF64" s="6" t="str">
        <f>IFERROR(__xludf.DUMMYFUNCTION("""COMPUTED_VALUE"""),"otherNeedText")</f>
        <v>otherNeedText</v>
      </c>
      <c r="BG64" s="6" t="str">
        <f>IFERROR(__xludf.DUMMYFUNCTION("""COMPUTED_VALUE"""),"neurodevelopmentReceive")</f>
        <v>neurodevelopmentReceive</v>
      </c>
      <c r="BH64" s="6" t="str">
        <f>IFERROR(__xludf.DUMMYFUNCTION("""COMPUTED_VALUE"""),"neurodevelopmentNeed")</f>
        <v>neurodevelopmentNeed</v>
      </c>
      <c r="BI64" s="6" t="str">
        <f>IFERROR(__xludf.DUMMYFUNCTION("""COMPUTED_VALUE"""),"prematureFollowupClinicReceive")</f>
        <v>prematureFollowupClinicReceive</v>
      </c>
      <c r="BJ64" s="6" t="str">
        <f>IFERROR(__xludf.DUMMYFUNCTION("""COMPUTED_VALUE"""),"prematureFollowupClinicNeed")</f>
        <v>prematureFollowupClinicNeed</v>
      </c>
      <c r="BK64" s="6" t="str">
        <f>IFERROR(__xludf.DUMMYFUNCTION("""COMPUTED_VALUE"""),"regularDoctor")</f>
        <v>regularDoctor</v>
      </c>
      <c r="BL64" s="6" t="str">
        <f>IFERROR(__xludf.DUMMYFUNCTION("""COMPUTED_VALUE"""),"resideChronicCareFacility")</f>
        <v>resideChronicCareFacility</v>
      </c>
      <c r="BM64" s="6" t="str">
        <f>IFERROR(__xludf.DUMMYFUNCTION("""COMPUTED_VALUE"""),"takenCareOfByOther")</f>
        <v>takenCareOfByOther</v>
      </c>
      <c r="BN64" s="6" t="str">
        <f>IFERROR(__xludf.DUMMYFUNCTION("""COMPUTED_VALUE"""),"traditionalCenterCare")</f>
        <v>traditionalCenterCare</v>
      </c>
      <c r="BO64" s="6" t="str">
        <f>IFERROR(__xludf.DUMMYFUNCTION("""COMPUTED_VALUE"""),"traditionalCenterCareAvgHrPerWeek")</f>
        <v>traditionalCenterCareAvgHrPerWeek</v>
      </c>
      <c r="BP64" s="6" t="str">
        <f>IFERROR(__xludf.DUMMYFUNCTION("""COMPUTED_VALUE"""),"medicalChildCare")</f>
        <v>medicalChildCare</v>
      </c>
      <c r="BQ64" s="6" t="str">
        <f>IFERROR(__xludf.DUMMYFUNCTION("""COMPUTED_VALUE"""),"medicalChildCareAvgHrPerWeek")</f>
        <v>medicalChildCareAvgHrPerWeek</v>
      </c>
      <c r="BR64" s="6" t="str">
        <f>IFERROR(__xludf.DUMMYFUNCTION("""COMPUTED_VALUE"""),"medicalChildCareWhere")</f>
        <v>medicalChildCareWhere</v>
      </c>
      <c r="BS64" s="6" t="str">
        <f>IFERROR(__xludf.DUMMYFUNCTION("""COMPUTED_VALUE"""),"traditionalHomeCare")</f>
        <v>traditionalHomeCare</v>
      </c>
      <c r="BT64" s="6" t="str">
        <f>IFERROR(__xludf.DUMMYFUNCTION("""COMPUTED_VALUE"""),"traditionalHomeCareAvgHrPerWeek")</f>
        <v>traditionalHomeCareAvgHrPerWeek</v>
      </c>
      <c r="BU64" s="6" t="str">
        <f>IFERROR(__xludf.DUMMYFUNCTION("""COMPUTED_VALUE"""),"traditionalHomeCareWhose")</f>
        <v>traditionalHomeCareWhose</v>
      </c>
      <c r="BV64" s="6" t="str">
        <f>IFERROR(__xludf.DUMMYFUNCTION("""COMPUTED_VALUE"""),"babysitter")</f>
        <v>babysitter</v>
      </c>
      <c r="BW64" s="6" t="str">
        <f>IFERROR(__xludf.DUMMYFUNCTION("""COMPUTED_VALUE"""),"babysitterAvgHrPerWeek")</f>
        <v>babysitterAvgHrPerWeek</v>
      </c>
      <c r="BX64" s="6" t="str">
        <f>IFERROR(__xludf.DUMMYFUNCTION("""COMPUTED_VALUE"""),"babysitterRelation")</f>
        <v>babysitterRelation</v>
      </c>
      <c r="BY64" s="6" t="str">
        <f>IFERROR(__xludf.DUMMYFUNCTION("""COMPUTED_VALUE"""),"SESInterviewWhere")</f>
        <v>SESInterviewWhere</v>
      </c>
      <c r="BZ64" s="6" t="str">
        <f>IFERROR(__xludf.DUMMYFUNCTION("""COMPUTED_VALUE"""),"SESInterviewDate")</f>
        <v>SESInterviewDate</v>
      </c>
      <c r="CA64" s="6" t="str">
        <f>IFERROR(__xludf.DUMMYFUNCTION("""COMPUTED_VALUE"""),"]")</f>
        <v>]</v>
      </c>
    </row>
    <row r="65">
      <c r="A65" s="1" t="str">
        <f>'01-number of variables'!A65</f>
        <v>20-02-medical-history.csv</v>
      </c>
      <c r="B65" s="1">
        <f>'01-number of variables'!B65</f>
        <v>63</v>
      </c>
      <c r="C65" s="1" t="str">
        <f>'01-number of variables'!C65</f>
        <v>['rehospitalize', 'numberRehospitalize', 'operation', 'operationTypanostomyTube', 'operationTracheostomy', 'operationEyeSurgery', 'operationEyeSurgeryReason', 'operationHerniaSurgery', 'operationGastrostomyTube', 'operationFundoplication', 'operationShuntForHydrocephalus', 'operationReanastomosisOfLargeOrSmallIntenstine', 'operationPDALigation', 'operationBrochoscopy', 'operationHypospadiusRepair', 'operationOther', 'operationOtherText', 'medication', 'vitaminMineralSupplement', 'highCaloricFormula', 'diuretics', 'antiRefluxMedication', 'bronchodilator', 'inhaledSteroid', 'oralIvSteroid', 'otherAsthmaMedication', 'decongestantColdAllergyMedication', 'anticonvulsantMedication', 'prophylaticAntibiotics', 'antibiotics', 'constipationMedication', 'bloodPressureMedication', 'thyroidMedication', 'muscleRelaxants', 'botox', 'otherMedication', 'otherMedicationText', 'seizure', 'medicalEquipmentHomeUse', 'apneaMonitor', 'oxygen', 'ventilatorCPAP', 'gastrostomyTube', 'tracheostomy', 'pulseOximeter', 'fluShot', 'RSVProphylaxis', 'independentFeedSelf', 'assistedEatByMouth', 'tubeFeed', 'TPN', 'dietMilk', 'dietTableFood', 'dietSoftFood', 'dietLiquid', 'dietThickendLiquid', 'subcutaneousFatNecrosis', 'equipmentForStanding', 'adaptedStroller', 'bracesOrthotics', 'walker', 'stander', 'cornerChairTumblerForm']</v>
      </c>
      <c r="E65" s="1" t="str">
        <f>IFERROR(__xludf.DUMMYFUNCTION("split(C65, ""', '"")"),"[")</f>
        <v>[</v>
      </c>
      <c r="F65" s="6" t="str">
        <f>IFERROR(__xludf.DUMMYFUNCTION("""COMPUTED_VALUE"""),"rehospitalize")</f>
        <v>rehospitalize</v>
      </c>
      <c r="G65" s="6" t="str">
        <f>IFERROR(__xludf.DUMMYFUNCTION("""COMPUTED_VALUE"""),"numberRehospitalize")</f>
        <v>numberRehospitalize</v>
      </c>
      <c r="H65" s="6" t="str">
        <f>IFERROR(__xludf.DUMMYFUNCTION("""COMPUTED_VALUE"""),"operation")</f>
        <v>operation</v>
      </c>
      <c r="I65" s="6" t="str">
        <f>IFERROR(__xludf.DUMMYFUNCTION("""COMPUTED_VALUE"""),"operationTypanostomyTube")</f>
        <v>operationTypanostomyTube</v>
      </c>
      <c r="J65" s="6" t="str">
        <f>IFERROR(__xludf.DUMMYFUNCTION("""COMPUTED_VALUE"""),"operationTracheostomy")</f>
        <v>operationTracheostomy</v>
      </c>
      <c r="K65" s="6" t="str">
        <f>IFERROR(__xludf.DUMMYFUNCTION("""COMPUTED_VALUE"""),"operationEyeSurgery")</f>
        <v>operationEyeSurgery</v>
      </c>
      <c r="L65" s="6" t="str">
        <f>IFERROR(__xludf.DUMMYFUNCTION("""COMPUTED_VALUE"""),"operationEyeSurgeryReason")</f>
        <v>operationEyeSurgeryReason</v>
      </c>
      <c r="M65" s="6" t="str">
        <f>IFERROR(__xludf.DUMMYFUNCTION("""COMPUTED_VALUE"""),"operationHerniaSurgery")</f>
        <v>operationHerniaSurgery</v>
      </c>
      <c r="N65" s="6" t="str">
        <f>IFERROR(__xludf.DUMMYFUNCTION("""COMPUTED_VALUE"""),"operationGastrostomyTube")</f>
        <v>operationGastrostomyTube</v>
      </c>
      <c r="O65" s="6" t="str">
        <f>IFERROR(__xludf.DUMMYFUNCTION("""COMPUTED_VALUE"""),"operationFundoplication")</f>
        <v>operationFundoplication</v>
      </c>
      <c r="P65" s="6" t="str">
        <f>IFERROR(__xludf.DUMMYFUNCTION("""COMPUTED_VALUE"""),"operationShuntForHydrocephalus")</f>
        <v>operationShuntForHydrocephalus</v>
      </c>
      <c r="Q65" s="6" t="str">
        <f>IFERROR(__xludf.DUMMYFUNCTION("""COMPUTED_VALUE"""),"operationReanastomosisOfLargeOrSmallIntenstine")</f>
        <v>operationReanastomosisOfLargeOrSmallIntenstine</v>
      </c>
      <c r="R65" s="6" t="str">
        <f>IFERROR(__xludf.DUMMYFUNCTION("""COMPUTED_VALUE"""),"operationPDALigation")</f>
        <v>operationPDALigation</v>
      </c>
      <c r="S65" s="6" t="str">
        <f>IFERROR(__xludf.DUMMYFUNCTION("""COMPUTED_VALUE"""),"operationBrochoscopy")</f>
        <v>operationBrochoscopy</v>
      </c>
      <c r="T65" s="6" t="str">
        <f>IFERROR(__xludf.DUMMYFUNCTION("""COMPUTED_VALUE"""),"operationHypospadiusRepair")</f>
        <v>operationHypospadiusRepair</v>
      </c>
      <c r="U65" s="6" t="str">
        <f>IFERROR(__xludf.DUMMYFUNCTION("""COMPUTED_VALUE"""),"operationOther")</f>
        <v>operationOther</v>
      </c>
      <c r="V65" s="6" t="str">
        <f>IFERROR(__xludf.DUMMYFUNCTION("""COMPUTED_VALUE"""),"operationOtherText")</f>
        <v>operationOtherText</v>
      </c>
      <c r="W65" s="6" t="str">
        <f>IFERROR(__xludf.DUMMYFUNCTION("""COMPUTED_VALUE"""),"medication")</f>
        <v>medication</v>
      </c>
      <c r="X65" s="6" t="str">
        <f>IFERROR(__xludf.DUMMYFUNCTION("""COMPUTED_VALUE"""),"vitaminMineralSupplement")</f>
        <v>vitaminMineralSupplement</v>
      </c>
      <c r="Y65" s="6" t="str">
        <f>IFERROR(__xludf.DUMMYFUNCTION("""COMPUTED_VALUE"""),"highCaloricFormula")</f>
        <v>highCaloricFormula</v>
      </c>
      <c r="Z65" s="6" t="str">
        <f>IFERROR(__xludf.DUMMYFUNCTION("""COMPUTED_VALUE"""),"diuretics")</f>
        <v>diuretics</v>
      </c>
      <c r="AA65" s="6" t="str">
        <f>IFERROR(__xludf.DUMMYFUNCTION("""COMPUTED_VALUE"""),"antiRefluxMedication")</f>
        <v>antiRefluxMedication</v>
      </c>
      <c r="AB65" s="6" t="str">
        <f>IFERROR(__xludf.DUMMYFUNCTION("""COMPUTED_VALUE"""),"bronchodilator")</f>
        <v>bronchodilator</v>
      </c>
      <c r="AC65" s="6" t="str">
        <f>IFERROR(__xludf.DUMMYFUNCTION("""COMPUTED_VALUE"""),"inhaledSteroid")</f>
        <v>inhaledSteroid</v>
      </c>
      <c r="AD65" s="6" t="str">
        <f>IFERROR(__xludf.DUMMYFUNCTION("""COMPUTED_VALUE"""),"oralIvSteroid")</f>
        <v>oralIvSteroid</v>
      </c>
      <c r="AE65" s="6" t="str">
        <f>IFERROR(__xludf.DUMMYFUNCTION("""COMPUTED_VALUE"""),"otherAsthmaMedication")</f>
        <v>otherAsthmaMedication</v>
      </c>
      <c r="AF65" s="6" t="str">
        <f>IFERROR(__xludf.DUMMYFUNCTION("""COMPUTED_VALUE"""),"decongestantColdAllergyMedication")</f>
        <v>decongestantColdAllergyMedication</v>
      </c>
      <c r="AG65" s="6" t="str">
        <f>IFERROR(__xludf.DUMMYFUNCTION("""COMPUTED_VALUE"""),"anticonvulsantMedication")</f>
        <v>anticonvulsantMedication</v>
      </c>
      <c r="AH65" s="6" t="str">
        <f>IFERROR(__xludf.DUMMYFUNCTION("""COMPUTED_VALUE"""),"prophylaticAntibiotics")</f>
        <v>prophylaticAntibiotics</v>
      </c>
      <c r="AI65" s="6" t="str">
        <f>IFERROR(__xludf.DUMMYFUNCTION("""COMPUTED_VALUE"""),"antibiotics")</f>
        <v>antibiotics</v>
      </c>
      <c r="AJ65" s="6" t="str">
        <f>IFERROR(__xludf.DUMMYFUNCTION("""COMPUTED_VALUE"""),"constipationMedication")</f>
        <v>constipationMedication</v>
      </c>
      <c r="AK65" s="6" t="str">
        <f>IFERROR(__xludf.DUMMYFUNCTION("""COMPUTED_VALUE"""),"bloodPressureMedication")</f>
        <v>bloodPressureMedication</v>
      </c>
      <c r="AL65" s="6" t="str">
        <f>IFERROR(__xludf.DUMMYFUNCTION("""COMPUTED_VALUE"""),"thyroidMedication")</f>
        <v>thyroidMedication</v>
      </c>
      <c r="AM65" s="6" t="str">
        <f>IFERROR(__xludf.DUMMYFUNCTION("""COMPUTED_VALUE"""),"muscleRelaxants")</f>
        <v>muscleRelaxants</v>
      </c>
      <c r="AN65" s="6" t="str">
        <f>IFERROR(__xludf.DUMMYFUNCTION("""COMPUTED_VALUE"""),"botox")</f>
        <v>botox</v>
      </c>
      <c r="AO65" s="6" t="str">
        <f>IFERROR(__xludf.DUMMYFUNCTION("""COMPUTED_VALUE"""),"otherMedication")</f>
        <v>otherMedication</v>
      </c>
      <c r="AP65" s="6" t="str">
        <f>IFERROR(__xludf.DUMMYFUNCTION("""COMPUTED_VALUE"""),"otherMedicationText")</f>
        <v>otherMedicationText</v>
      </c>
      <c r="AQ65" s="6" t="str">
        <f>IFERROR(__xludf.DUMMYFUNCTION("""COMPUTED_VALUE"""),"seizure")</f>
        <v>seizure</v>
      </c>
      <c r="AR65" s="6" t="str">
        <f>IFERROR(__xludf.DUMMYFUNCTION("""COMPUTED_VALUE"""),"medicalEquipmentHomeUse")</f>
        <v>medicalEquipmentHomeUse</v>
      </c>
      <c r="AS65" s="6" t="str">
        <f>IFERROR(__xludf.DUMMYFUNCTION("""COMPUTED_VALUE"""),"apneaMonitor")</f>
        <v>apneaMonitor</v>
      </c>
      <c r="AT65" s="6" t="str">
        <f>IFERROR(__xludf.DUMMYFUNCTION("""COMPUTED_VALUE"""),"oxygen")</f>
        <v>oxygen</v>
      </c>
      <c r="AU65" s="6" t="str">
        <f>IFERROR(__xludf.DUMMYFUNCTION("""COMPUTED_VALUE"""),"ventilatorCPAP")</f>
        <v>ventilatorCPAP</v>
      </c>
      <c r="AV65" s="6" t="str">
        <f>IFERROR(__xludf.DUMMYFUNCTION("""COMPUTED_VALUE"""),"gastrostomyTube")</f>
        <v>gastrostomyTube</v>
      </c>
      <c r="AW65" s="6" t="str">
        <f>IFERROR(__xludf.DUMMYFUNCTION("""COMPUTED_VALUE"""),"tracheostomy")</f>
        <v>tracheostomy</v>
      </c>
      <c r="AX65" s="6" t="str">
        <f>IFERROR(__xludf.DUMMYFUNCTION("""COMPUTED_VALUE"""),"pulseOximeter")</f>
        <v>pulseOximeter</v>
      </c>
      <c r="AY65" s="6" t="str">
        <f>IFERROR(__xludf.DUMMYFUNCTION("""COMPUTED_VALUE"""),"fluShot")</f>
        <v>fluShot</v>
      </c>
      <c r="AZ65" s="6" t="str">
        <f>IFERROR(__xludf.DUMMYFUNCTION("""COMPUTED_VALUE"""),"RSVProphylaxis")</f>
        <v>RSVProphylaxis</v>
      </c>
      <c r="BA65" s="6" t="str">
        <f>IFERROR(__xludf.DUMMYFUNCTION("""COMPUTED_VALUE"""),"independentFeedSelf")</f>
        <v>independentFeedSelf</v>
      </c>
      <c r="BB65" s="6" t="str">
        <f>IFERROR(__xludf.DUMMYFUNCTION("""COMPUTED_VALUE"""),"assistedEatByMouth")</f>
        <v>assistedEatByMouth</v>
      </c>
      <c r="BC65" s="6" t="str">
        <f>IFERROR(__xludf.DUMMYFUNCTION("""COMPUTED_VALUE"""),"tubeFeed")</f>
        <v>tubeFeed</v>
      </c>
      <c r="BD65" s="6" t="str">
        <f>IFERROR(__xludf.DUMMYFUNCTION("""COMPUTED_VALUE"""),"TPN")</f>
        <v>TPN</v>
      </c>
      <c r="BE65" s="6" t="str">
        <f>IFERROR(__xludf.DUMMYFUNCTION("""COMPUTED_VALUE"""),"dietMilk")</f>
        <v>dietMilk</v>
      </c>
      <c r="BF65" s="6" t="str">
        <f>IFERROR(__xludf.DUMMYFUNCTION("""COMPUTED_VALUE"""),"dietTableFood")</f>
        <v>dietTableFood</v>
      </c>
      <c r="BG65" s="6" t="str">
        <f>IFERROR(__xludf.DUMMYFUNCTION("""COMPUTED_VALUE"""),"dietSoftFood")</f>
        <v>dietSoftFood</v>
      </c>
      <c r="BH65" s="6" t="str">
        <f>IFERROR(__xludf.DUMMYFUNCTION("""COMPUTED_VALUE"""),"dietLiquid")</f>
        <v>dietLiquid</v>
      </c>
      <c r="BI65" s="6" t="str">
        <f>IFERROR(__xludf.DUMMYFUNCTION("""COMPUTED_VALUE"""),"dietThickendLiquid")</f>
        <v>dietThickendLiquid</v>
      </c>
      <c r="BJ65" s="6" t="str">
        <f>IFERROR(__xludf.DUMMYFUNCTION("""COMPUTED_VALUE"""),"subcutaneousFatNecrosis")</f>
        <v>subcutaneousFatNecrosis</v>
      </c>
      <c r="BK65" s="6" t="str">
        <f>IFERROR(__xludf.DUMMYFUNCTION("""COMPUTED_VALUE"""),"equipmentForStanding")</f>
        <v>equipmentForStanding</v>
      </c>
      <c r="BL65" s="6" t="str">
        <f>IFERROR(__xludf.DUMMYFUNCTION("""COMPUTED_VALUE"""),"adaptedStroller")</f>
        <v>adaptedStroller</v>
      </c>
      <c r="BM65" s="6" t="str">
        <f>IFERROR(__xludf.DUMMYFUNCTION("""COMPUTED_VALUE"""),"bracesOrthotics")</f>
        <v>bracesOrthotics</v>
      </c>
      <c r="BN65" s="6" t="str">
        <f>IFERROR(__xludf.DUMMYFUNCTION("""COMPUTED_VALUE"""),"walker")</f>
        <v>walker</v>
      </c>
      <c r="BO65" s="6" t="str">
        <f>IFERROR(__xludf.DUMMYFUNCTION("""COMPUTED_VALUE"""),"stander")</f>
        <v>stander</v>
      </c>
      <c r="BP65" s="6" t="str">
        <f>IFERROR(__xludf.DUMMYFUNCTION("""COMPUTED_VALUE"""),"cornerChairTumblerForm")</f>
        <v>cornerChairTumblerForm</v>
      </c>
      <c r="BQ65" s="6" t="str">
        <f>IFERROR(__xludf.DUMMYFUNCTION("""COMPUTED_VALUE"""),"]")</f>
        <v>]</v>
      </c>
    </row>
    <row r="66">
      <c r="A66" s="1" t="str">
        <f>'01-number of variables'!A66</f>
        <v>20-03-medical-exam.csv</v>
      </c>
      <c r="B66" s="1">
        <f>'01-number of variables'!B66</f>
        <v>94</v>
      </c>
      <c r="C66" s="1" t="str">
        <f>'01-number of variables'!C66</f>
        <v>['weight_kg', 'length_cm', 'headCircumference_cm', 'strabismusRight', 'strabismusLeft', 'nystagmusRight', 'nystagmusLeft', 'rovingEyeMovementRight', 'rovingEyeMovementLeft', 'eyeTrackRight', 'eyeTrackLeft', 'visionRight', 'visionLeft', 'audiologicAssessment', 'audiologicPendingForAssessment', 'visualReinforcementAudiometry', 'VRARight', 'VRALeft', 'VRASoundField', 'ABR', 'ABRRight', 'ABRLeft', 'hearingTestUnknown', 'hearingTestUnknownRight', 'hearingTestUnknownLeft', 'hearingImpaired', 'hearingAidRequirement', 'hearingImplant', 'swallowing', 'dysphagia', 'aspiration', 'abnormalVoice', 'drooling', 'nothingByMouth', 'observedAbnormalMovement', 'observedAbnormalMovementShortJerky', 'observedAbnormalMovementSlowWrithing', 'observedAbnormalMovementTremor', 'passiveMuscleToneNeckTrunk', 'upperExtremityMuscleToneRight', 'upperExtremityMuscleToneLeft', 'lowerExtremityMuscleToneHipKneeRight', 'lowerExtremityMuscleToneHipKneeLeft', 'lowerExtremityMuscleToneAnkleRight', 'lowerExtremityMuscleToneAnkleLeft', 'scissoringLegs', 'handPreference', 'protectiveReaction', 'limbMovementUpperLimb', 'limbMovementLowerLimb', 'deepTendonReflexUpperExtremityRight', 'deepTendonReflexUpperExtremityLeft', 'deepTendonReflexKneeRight', 'deepTendonReflexKneeLeft', 'deepTendonReflexAnkleRight', 'deepTendonReflexAnkleLeft', 'ankleClonusRight', 'ankleClonusLeft', 'plantarReflexRight', 'plantarReflexLeft', 'axisHeadNeck', 'axisTrunk', 'lowerLimbFunction', 'upperLimbFunction', 'handFunctionRight', 'handFunctionLeft', 'neuralNormal', 'generalizedHypotonia', 'hypertonia', 'neuralOther', 'neuralOtherText', 'spasticDiplegia', 'spasticHemiplegiaRight', 'spasticHemiplegiaLeft', 'spasticQuadriplegia', 'spasticTriplegia', 'dystonia', 'athetosis', 'athetosisDystonia', 'hypotoniaAtaxia', 'spasticMonoplegia', 'mixedCerebralPalsy', 'cerebralPalsyUnclassified', 'cerebralPalsyUnclassifiedText', 'cerebralPalsy', 'cerebralPalsyClass', 'abrnomalityAffectingNeuroAssessment', 'abrnomalityAffectingNeuroAssessmentText', 'examWhere', 'examWhereOtherText', 'examQuality', 'examFactorAffecting', 'examFactorAffectingText', 'examCompleteDate']</v>
      </c>
      <c r="E66" s="1" t="str">
        <f>IFERROR(__xludf.DUMMYFUNCTION("split(C66, ""', '"")"),"[")</f>
        <v>[</v>
      </c>
      <c r="F66" s="6" t="str">
        <f>IFERROR(__xludf.DUMMYFUNCTION("""COMPUTED_VALUE"""),"weight_kg")</f>
        <v>weight_kg</v>
      </c>
      <c r="G66" s="6" t="str">
        <f>IFERROR(__xludf.DUMMYFUNCTION("""COMPUTED_VALUE"""),"length_cm")</f>
        <v>length_cm</v>
      </c>
      <c r="H66" s="6" t="str">
        <f>IFERROR(__xludf.DUMMYFUNCTION("""COMPUTED_VALUE"""),"headCircumference_cm")</f>
        <v>headCircumference_cm</v>
      </c>
      <c r="I66" s="6" t="str">
        <f>IFERROR(__xludf.DUMMYFUNCTION("""COMPUTED_VALUE"""),"strabismusRight")</f>
        <v>strabismusRight</v>
      </c>
      <c r="J66" s="6" t="str">
        <f>IFERROR(__xludf.DUMMYFUNCTION("""COMPUTED_VALUE"""),"strabismusLeft")</f>
        <v>strabismusLeft</v>
      </c>
      <c r="K66" s="6" t="str">
        <f>IFERROR(__xludf.DUMMYFUNCTION("""COMPUTED_VALUE"""),"nystagmusRight")</f>
        <v>nystagmusRight</v>
      </c>
      <c r="L66" s="6" t="str">
        <f>IFERROR(__xludf.DUMMYFUNCTION("""COMPUTED_VALUE"""),"nystagmusLeft")</f>
        <v>nystagmusLeft</v>
      </c>
      <c r="M66" s="6" t="str">
        <f>IFERROR(__xludf.DUMMYFUNCTION("""COMPUTED_VALUE"""),"rovingEyeMovementRight")</f>
        <v>rovingEyeMovementRight</v>
      </c>
      <c r="N66" s="6" t="str">
        <f>IFERROR(__xludf.DUMMYFUNCTION("""COMPUTED_VALUE"""),"rovingEyeMovementLeft")</f>
        <v>rovingEyeMovementLeft</v>
      </c>
      <c r="O66" s="6" t="str">
        <f>IFERROR(__xludf.DUMMYFUNCTION("""COMPUTED_VALUE"""),"eyeTrackRight")</f>
        <v>eyeTrackRight</v>
      </c>
      <c r="P66" s="6" t="str">
        <f>IFERROR(__xludf.DUMMYFUNCTION("""COMPUTED_VALUE"""),"eyeTrackLeft")</f>
        <v>eyeTrackLeft</v>
      </c>
      <c r="Q66" s="6" t="str">
        <f>IFERROR(__xludf.DUMMYFUNCTION("""COMPUTED_VALUE"""),"visionRight")</f>
        <v>visionRight</v>
      </c>
      <c r="R66" s="6" t="str">
        <f>IFERROR(__xludf.DUMMYFUNCTION("""COMPUTED_VALUE"""),"visionLeft")</f>
        <v>visionLeft</v>
      </c>
      <c r="S66" s="6" t="str">
        <f>IFERROR(__xludf.DUMMYFUNCTION("""COMPUTED_VALUE"""),"audiologicAssessment")</f>
        <v>audiologicAssessment</v>
      </c>
      <c r="T66" s="6" t="str">
        <f>IFERROR(__xludf.DUMMYFUNCTION("""COMPUTED_VALUE"""),"audiologicPendingForAssessment")</f>
        <v>audiologicPendingForAssessment</v>
      </c>
      <c r="U66" s="6" t="str">
        <f>IFERROR(__xludf.DUMMYFUNCTION("""COMPUTED_VALUE"""),"visualReinforcementAudiometry")</f>
        <v>visualReinforcementAudiometry</v>
      </c>
      <c r="V66" s="6" t="str">
        <f>IFERROR(__xludf.DUMMYFUNCTION("""COMPUTED_VALUE"""),"VRARight")</f>
        <v>VRARight</v>
      </c>
      <c r="W66" s="6" t="str">
        <f>IFERROR(__xludf.DUMMYFUNCTION("""COMPUTED_VALUE"""),"VRALeft")</f>
        <v>VRALeft</v>
      </c>
      <c r="X66" s="6" t="str">
        <f>IFERROR(__xludf.DUMMYFUNCTION("""COMPUTED_VALUE"""),"VRASoundField")</f>
        <v>VRASoundField</v>
      </c>
      <c r="Y66" s="6" t="str">
        <f>IFERROR(__xludf.DUMMYFUNCTION("""COMPUTED_VALUE"""),"ABR")</f>
        <v>ABR</v>
      </c>
      <c r="Z66" s="6" t="str">
        <f>IFERROR(__xludf.DUMMYFUNCTION("""COMPUTED_VALUE"""),"ABRRight")</f>
        <v>ABRRight</v>
      </c>
      <c r="AA66" s="6" t="str">
        <f>IFERROR(__xludf.DUMMYFUNCTION("""COMPUTED_VALUE"""),"ABRLeft")</f>
        <v>ABRLeft</v>
      </c>
      <c r="AB66" s="6" t="str">
        <f>IFERROR(__xludf.DUMMYFUNCTION("""COMPUTED_VALUE"""),"hearingTestUnknown")</f>
        <v>hearingTestUnknown</v>
      </c>
      <c r="AC66" s="6" t="str">
        <f>IFERROR(__xludf.DUMMYFUNCTION("""COMPUTED_VALUE"""),"hearingTestUnknownRight")</f>
        <v>hearingTestUnknownRight</v>
      </c>
      <c r="AD66" s="6" t="str">
        <f>IFERROR(__xludf.DUMMYFUNCTION("""COMPUTED_VALUE"""),"hearingTestUnknownLeft")</f>
        <v>hearingTestUnknownLeft</v>
      </c>
      <c r="AE66" s="6" t="str">
        <f>IFERROR(__xludf.DUMMYFUNCTION("""COMPUTED_VALUE"""),"hearingImpaired")</f>
        <v>hearingImpaired</v>
      </c>
      <c r="AF66" s="6" t="str">
        <f>IFERROR(__xludf.DUMMYFUNCTION("""COMPUTED_VALUE"""),"hearingAidRequirement")</f>
        <v>hearingAidRequirement</v>
      </c>
      <c r="AG66" s="6" t="str">
        <f>IFERROR(__xludf.DUMMYFUNCTION("""COMPUTED_VALUE"""),"hearingImplant")</f>
        <v>hearingImplant</v>
      </c>
      <c r="AH66" s="6" t="str">
        <f>IFERROR(__xludf.DUMMYFUNCTION("""COMPUTED_VALUE"""),"swallowing")</f>
        <v>swallowing</v>
      </c>
      <c r="AI66" s="6" t="str">
        <f>IFERROR(__xludf.DUMMYFUNCTION("""COMPUTED_VALUE"""),"dysphagia")</f>
        <v>dysphagia</v>
      </c>
      <c r="AJ66" s="6" t="str">
        <f>IFERROR(__xludf.DUMMYFUNCTION("""COMPUTED_VALUE"""),"aspiration")</f>
        <v>aspiration</v>
      </c>
      <c r="AK66" s="6" t="str">
        <f>IFERROR(__xludf.DUMMYFUNCTION("""COMPUTED_VALUE"""),"abnormalVoice")</f>
        <v>abnormalVoice</v>
      </c>
      <c r="AL66" s="6" t="str">
        <f>IFERROR(__xludf.DUMMYFUNCTION("""COMPUTED_VALUE"""),"drooling")</f>
        <v>drooling</v>
      </c>
      <c r="AM66" s="6" t="str">
        <f>IFERROR(__xludf.DUMMYFUNCTION("""COMPUTED_VALUE"""),"nothingByMouth")</f>
        <v>nothingByMouth</v>
      </c>
      <c r="AN66" s="6" t="str">
        <f>IFERROR(__xludf.DUMMYFUNCTION("""COMPUTED_VALUE"""),"observedAbnormalMovement")</f>
        <v>observedAbnormalMovement</v>
      </c>
      <c r="AO66" s="6" t="str">
        <f>IFERROR(__xludf.DUMMYFUNCTION("""COMPUTED_VALUE"""),"observedAbnormalMovementShortJerky")</f>
        <v>observedAbnormalMovementShortJerky</v>
      </c>
      <c r="AP66" s="6" t="str">
        <f>IFERROR(__xludf.DUMMYFUNCTION("""COMPUTED_VALUE"""),"observedAbnormalMovementSlowWrithing")</f>
        <v>observedAbnormalMovementSlowWrithing</v>
      </c>
      <c r="AQ66" s="6" t="str">
        <f>IFERROR(__xludf.DUMMYFUNCTION("""COMPUTED_VALUE"""),"observedAbnormalMovementTremor")</f>
        <v>observedAbnormalMovementTremor</v>
      </c>
      <c r="AR66" s="6" t="str">
        <f>IFERROR(__xludf.DUMMYFUNCTION("""COMPUTED_VALUE"""),"passiveMuscleToneNeckTrunk")</f>
        <v>passiveMuscleToneNeckTrunk</v>
      </c>
      <c r="AS66" s="6" t="str">
        <f>IFERROR(__xludf.DUMMYFUNCTION("""COMPUTED_VALUE"""),"upperExtremityMuscleToneRight")</f>
        <v>upperExtremityMuscleToneRight</v>
      </c>
      <c r="AT66" s="6" t="str">
        <f>IFERROR(__xludf.DUMMYFUNCTION("""COMPUTED_VALUE"""),"upperExtremityMuscleToneLeft")</f>
        <v>upperExtremityMuscleToneLeft</v>
      </c>
      <c r="AU66" s="6" t="str">
        <f>IFERROR(__xludf.DUMMYFUNCTION("""COMPUTED_VALUE"""),"lowerExtremityMuscleToneHipKneeRight")</f>
        <v>lowerExtremityMuscleToneHipKneeRight</v>
      </c>
      <c r="AV66" s="6" t="str">
        <f>IFERROR(__xludf.DUMMYFUNCTION("""COMPUTED_VALUE"""),"lowerExtremityMuscleToneHipKneeLeft")</f>
        <v>lowerExtremityMuscleToneHipKneeLeft</v>
      </c>
      <c r="AW66" s="6" t="str">
        <f>IFERROR(__xludf.DUMMYFUNCTION("""COMPUTED_VALUE"""),"lowerExtremityMuscleToneAnkleRight")</f>
        <v>lowerExtremityMuscleToneAnkleRight</v>
      </c>
      <c r="AX66" s="6" t="str">
        <f>IFERROR(__xludf.DUMMYFUNCTION("""COMPUTED_VALUE"""),"lowerExtremityMuscleToneAnkleLeft")</f>
        <v>lowerExtremityMuscleToneAnkleLeft</v>
      </c>
      <c r="AY66" s="6" t="str">
        <f>IFERROR(__xludf.DUMMYFUNCTION("""COMPUTED_VALUE"""),"scissoringLegs")</f>
        <v>scissoringLegs</v>
      </c>
      <c r="AZ66" s="6" t="str">
        <f>IFERROR(__xludf.DUMMYFUNCTION("""COMPUTED_VALUE"""),"handPreference")</f>
        <v>handPreference</v>
      </c>
      <c r="BA66" s="6" t="str">
        <f>IFERROR(__xludf.DUMMYFUNCTION("""COMPUTED_VALUE"""),"protectiveReaction")</f>
        <v>protectiveReaction</v>
      </c>
      <c r="BB66" s="6" t="str">
        <f>IFERROR(__xludf.DUMMYFUNCTION("""COMPUTED_VALUE"""),"limbMovementUpperLimb")</f>
        <v>limbMovementUpperLimb</v>
      </c>
      <c r="BC66" s="6" t="str">
        <f>IFERROR(__xludf.DUMMYFUNCTION("""COMPUTED_VALUE"""),"limbMovementLowerLimb")</f>
        <v>limbMovementLowerLimb</v>
      </c>
      <c r="BD66" s="6" t="str">
        <f>IFERROR(__xludf.DUMMYFUNCTION("""COMPUTED_VALUE"""),"deepTendonReflexUpperExtremityRight")</f>
        <v>deepTendonReflexUpperExtremityRight</v>
      </c>
      <c r="BE66" s="6" t="str">
        <f>IFERROR(__xludf.DUMMYFUNCTION("""COMPUTED_VALUE"""),"deepTendonReflexUpperExtremityLeft")</f>
        <v>deepTendonReflexUpperExtremityLeft</v>
      </c>
      <c r="BF66" s="6" t="str">
        <f>IFERROR(__xludf.DUMMYFUNCTION("""COMPUTED_VALUE"""),"deepTendonReflexKneeRight")</f>
        <v>deepTendonReflexKneeRight</v>
      </c>
      <c r="BG66" s="6" t="str">
        <f>IFERROR(__xludf.DUMMYFUNCTION("""COMPUTED_VALUE"""),"deepTendonReflexKneeLeft")</f>
        <v>deepTendonReflexKneeLeft</v>
      </c>
      <c r="BH66" s="6" t="str">
        <f>IFERROR(__xludf.DUMMYFUNCTION("""COMPUTED_VALUE"""),"deepTendonReflexAnkleRight")</f>
        <v>deepTendonReflexAnkleRight</v>
      </c>
      <c r="BI66" s="6" t="str">
        <f>IFERROR(__xludf.DUMMYFUNCTION("""COMPUTED_VALUE"""),"deepTendonReflexAnkleLeft")</f>
        <v>deepTendonReflexAnkleLeft</v>
      </c>
      <c r="BJ66" s="6" t="str">
        <f>IFERROR(__xludf.DUMMYFUNCTION("""COMPUTED_VALUE"""),"ankleClonusRight")</f>
        <v>ankleClonusRight</v>
      </c>
      <c r="BK66" s="6" t="str">
        <f>IFERROR(__xludf.DUMMYFUNCTION("""COMPUTED_VALUE"""),"ankleClonusLeft")</f>
        <v>ankleClonusLeft</v>
      </c>
      <c r="BL66" s="6" t="str">
        <f>IFERROR(__xludf.DUMMYFUNCTION("""COMPUTED_VALUE"""),"plantarReflexRight")</f>
        <v>plantarReflexRight</v>
      </c>
      <c r="BM66" s="6" t="str">
        <f>IFERROR(__xludf.DUMMYFUNCTION("""COMPUTED_VALUE"""),"plantarReflexLeft")</f>
        <v>plantarReflexLeft</v>
      </c>
      <c r="BN66" s="6" t="str">
        <f>IFERROR(__xludf.DUMMYFUNCTION("""COMPUTED_VALUE"""),"axisHeadNeck")</f>
        <v>axisHeadNeck</v>
      </c>
      <c r="BO66" s="6" t="str">
        <f>IFERROR(__xludf.DUMMYFUNCTION("""COMPUTED_VALUE"""),"axisTrunk")</f>
        <v>axisTrunk</v>
      </c>
      <c r="BP66" s="6" t="str">
        <f>IFERROR(__xludf.DUMMYFUNCTION("""COMPUTED_VALUE"""),"lowerLimbFunction")</f>
        <v>lowerLimbFunction</v>
      </c>
      <c r="BQ66" s="6" t="str">
        <f>IFERROR(__xludf.DUMMYFUNCTION("""COMPUTED_VALUE"""),"upperLimbFunction")</f>
        <v>upperLimbFunction</v>
      </c>
      <c r="BR66" s="6" t="str">
        <f>IFERROR(__xludf.DUMMYFUNCTION("""COMPUTED_VALUE"""),"handFunctionRight")</f>
        <v>handFunctionRight</v>
      </c>
      <c r="BS66" s="6" t="str">
        <f>IFERROR(__xludf.DUMMYFUNCTION("""COMPUTED_VALUE"""),"handFunctionLeft")</f>
        <v>handFunctionLeft</v>
      </c>
      <c r="BT66" s="6" t="str">
        <f>IFERROR(__xludf.DUMMYFUNCTION("""COMPUTED_VALUE"""),"neuralNormal")</f>
        <v>neuralNormal</v>
      </c>
      <c r="BU66" s="6" t="str">
        <f>IFERROR(__xludf.DUMMYFUNCTION("""COMPUTED_VALUE"""),"generalizedHypotonia")</f>
        <v>generalizedHypotonia</v>
      </c>
      <c r="BV66" s="6" t="str">
        <f>IFERROR(__xludf.DUMMYFUNCTION("""COMPUTED_VALUE"""),"hypertonia")</f>
        <v>hypertonia</v>
      </c>
      <c r="BW66" s="6" t="str">
        <f>IFERROR(__xludf.DUMMYFUNCTION("""COMPUTED_VALUE"""),"neuralOther")</f>
        <v>neuralOther</v>
      </c>
      <c r="BX66" s="6" t="str">
        <f>IFERROR(__xludf.DUMMYFUNCTION("""COMPUTED_VALUE"""),"neuralOtherText")</f>
        <v>neuralOtherText</v>
      </c>
      <c r="BY66" s="6" t="str">
        <f>IFERROR(__xludf.DUMMYFUNCTION("""COMPUTED_VALUE"""),"spasticDiplegia")</f>
        <v>spasticDiplegia</v>
      </c>
      <c r="BZ66" s="6" t="str">
        <f>IFERROR(__xludf.DUMMYFUNCTION("""COMPUTED_VALUE"""),"spasticHemiplegiaRight")</f>
        <v>spasticHemiplegiaRight</v>
      </c>
      <c r="CA66" s="6" t="str">
        <f>IFERROR(__xludf.DUMMYFUNCTION("""COMPUTED_VALUE"""),"spasticHemiplegiaLeft")</f>
        <v>spasticHemiplegiaLeft</v>
      </c>
      <c r="CB66" s="6" t="str">
        <f>IFERROR(__xludf.DUMMYFUNCTION("""COMPUTED_VALUE"""),"spasticQuadriplegia")</f>
        <v>spasticQuadriplegia</v>
      </c>
      <c r="CC66" s="6" t="str">
        <f>IFERROR(__xludf.DUMMYFUNCTION("""COMPUTED_VALUE"""),"spasticTriplegia")</f>
        <v>spasticTriplegia</v>
      </c>
      <c r="CD66" s="6" t="str">
        <f>IFERROR(__xludf.DUMMYFUNCTION("""COMPUTED_VALUE"""),"dystonia")</f>
        <v>dystonia</v>
      </c>
      <c r="CE66" s="6" t="str">
        <f>IFERROR(__xludf.DUMMYFUNCTION("""COMPUTED_VALUE"""),"athetosis")</f>
        <v>athetosis</v>
      </c>
      <c r="CF66" s="6" t="str">
        <f>IFERROR(__xludf.DUMMYFUNCTION("""COMPUTED_VALUE"""),"athetosisDystonia")</f>
        <v>athetosisDystonia</v>
      </c>
      <c r="CG66" s="6" t="str">
        <f>IFERROR(__xludf.DUMMYFUNCTION("""COMPUTED_VALUE"""),"hypotoniaAtaxia")</f>
        <v>hypotoniaAtaxia</v>
      </c>
      <c r="CH66" s="6" t="str">
        <f>IFERROR(__xludf.DUMMYFUNCTION("""COMPUTED_VALUE"""),"spasticMonoplegia")</f>
        <v>spasticMonoplegia</v>
      </c>
      <c r="CI66" s="6" t="str">
        <f>IFERROR(__xludf.DUMMYFUNCTION("""COMPUTED_VALUE"""),"mixedCerebralPalsy")</f>
        <v>mixedCerebralPalsy</v>
      </c>
      <c r="CJ66" s="6" t="str">
        <f>IFERROR(__xludf.DUMMYFUNCTION("""COMPUTED_VALUE"""),"cerebralPalsyUnclassified")</f>
        <v>cerebralPalsyUnclassified</v>
      </c>
      <c r="CK66" s="6" t="str">
        <f>IFERROR(__xludf.DUMMYFUNCTION("""COMPUTED_VALUE"""),"cerebralPalsyUnclassifiedText")</f>
        <v>cerebralPalsyUnclassifiedText</v>
      </c>
      <c r="CL66" s="6" t="str">
        <f>IFERROR(__xludf.DUMMYFUNCTION("""COMPUTED_VALUE"""),"cerebralPalsy")</f>
        <v>cerebralPalsy</v>
      </c>
      <c r="CM66" s="6" t="str">
        <f>IFERROR(__xludf.DUMMYFUNCTION("""COMPUTED_VALUE"""),"cerebralPalsyClass")</f>
        <v>cerebralPalsyClass</v>
      </c>
      <c r="CN66" s="6" t="str">
        <f>IFERROR(__xludf.DUMMYFUNCTION("""COMPUTED_VALUE"""),"abrnomalityAffectingNeuroAssessment")</f>
        <v>abrnomalityAffectingNeuroAssessment</v>
      </c>
      <c r="CO66" s="6" t="str">
        <f>IFERROR(__xludf.DUMMYFUNCTION("""COMPUTED_VALUE"""),"abrnomalityAffectingNeuroAssessmentText")</f>
        <v>abrnomalityAffectingNeuroAssessmentText</v>
      </c>
      <c r="CP66" s="6" t="str">
        <f>IFERROR(__xludf.DUMMYFUNCTION("""COMPUTED_VALUE"""),"examWhere")</f>
        <v>examWhere</v>
      </c>
      <c r="CQ66" s="6" t="str">
        <f>IFERROR(__xludf.DUMMYFUNCTION("""COMPUTED_VALUE"""),"examWhereOtherText")</f>
        <v>examWhereOtherText</v>
      </c>
      <c r="CR66" s="6" t="str">
        <f>IFERROR(__xludf.DUMMYFUNCTION("""COMPUTED_VALUE"""),"examQuality")</f>
        <v>examQuality</v>
      </c>
      <c r="CS66" s="6" t="str">
        <f>IFERROR(__xludf.DUMMYFUNCTION("""COMPUTED_VALUE"""),"examFactorAffecting")</f>
        <v>examFactorAffecting</v>
      </c>
      <c r="CT66" s="6" t="str">
        <f>IFERROR(__xludf.DUMMYFUNCTION("""COMPUTED_VALUE"""),"examFactorAffectingText")</f>
        <v>examFactorAffectingText</v>
      </c>
      <c r="CU66" s="6" t="str">
        <f>IFERROR(__xludf.DUMMYFUNCTION("""COMPUTED_VALUE"""),"examCompleteDate")</f>
        <v>examCompleteDate</v>
      </c>
      <c r="CV66" s="6" t="str">
        <f>IFERROR(__xludf.DUMMYFUNCTION("""COMPUTED_VALUE"""),"]")</f>
        <v>]</v>
      </c>
    </row>
    <row r="67">
      <c r="A67" s="1" t="str">
        <f>'01-number of variables'!A67</f>
        <v>20-04-bayley-iii.csv</v>
      </c>
      <c r="B67" s="1">
        <f>'01-number of variables'!B67</f>
        <v>40</v>
      </c>
      <c r="C67" s="1" t="str">
        <f>'01-number of variables'!C67</f>
        <v>['BayleyIIICognitiveSubtest', 'BayleyIIIReasonNoSuccessCognitiveSubtest', 'BayleyIIIReasonNoSuccessCognitiveSubtestText', 'BayleyIIILanguageReceptiveSubtest', 'BayleyIIIReasonNoSuccessLanguageReceptiveSubtest', 'BayleyIIIReasonNoSuccessLanguageReceptiveSubtestText', 'BayleyIIILanguageExpressiveSubtest', 'BayleyIIIReasonNoSuccessLanguageExpressiveSubtest', 'BayleyIIIReasonNoSuccessLanguageExpressiveSubtestText', 'BayleyIIIMotorFineSubtest', 'BayleyIIIReasonNoSuccessMotorFineSubtest', 'BayleyIIIReasonNoSuccessMotorFineSubtestText', 'BayleyIIIMotorGrossSubtest', 'BayleyIIIReasonNoSuccessMotorGrossSubtest', 'BayleyIIIReasonNoSuccessMotorGrossSubtestText', 'BayleyIIIAdjustedAgeForCognitiveTest', 'BayleyIIIAdjustedAgeForReceptiveCommunication', 'BayleyIIIAdjustedAgeForExpressiveCommunication', 'BayleyIIIAdjustedAgeForMotorFineSubtest', 'BayleyIIIAdjustedAgeForMotorGrossSubtest', 'BayleyIIICognitiveRaw', 'BayleyIIICognitiveScale', 'BayleyIIICognitiveComposite', 'BayleyIIIReceptiveRaw', 'BayleyIIIReceptiveScale', 'BayleyIIIExpressiveRaw', 'BayleyIIIExpressiveScale', 'BayleyIIISumLanguageScore', 'BayleyIIILanguageComposite', 'BayleyIIIMotorFineRaw', 'BayleyIIIMotorFineScale', 'BayleyIIIMotorGrossRaw', 'BayleyIIIMotorGrossScale', 'BayleyIIISumMotorScore', 'BayleyIIIMotorComposite', 'BayleyIIIInEnglish', 'BayleyIIIRequireInterpreter', 'BayleyIIIAdministratorMaskedToChildHistory', 'BayleyIIIWhere', 'BayleyIIIDate']</v>
      </c>
      <c r="E67" s="1" t="str">
        <f>IFERROR(__xludf.DUMMYFUNCTION("split(C67, ""', '"")"),"[")</f>
        <v>[</v>
      </c>
      <c r="F67" s="6" t="str">
        <f>IFERROR(__xludf.DUMMYFUNCTION("""COMPUTED_VALUE"""),"BayleyIIICognitiveSubtest")</f>
        <v>BayleyIIICognitiveSubtest</v>
      </c>
      <c r="G67" s="6" t="str">
        <f>IFERROR(__xludf.DUMMYFUNCTION("""COMPUTED_VALUE"""),"BayleyIIIReasonNoSuccessCognitiveSubtest")</f>
        <v>BayleyIIIReasonNoSuccessCognitiveSubtest</v>
      </c>
      <c r="H67" s="6" t="str">
        <f>IFERROR(__xludf.DUMMYFUNCTION("""COMPUTED_VALUE"""),"BayleyIIIReasonNoSuccessCognitiveSubtestText")</f>
        <v>BayleyIIIReasonNoSuccessCognitiveSubtestText</v>
      </c>
      <c r="I67" s="6" t="str">
        <f>IFERROR(__xludf.DUMMYFUNCTION("""COMPUTED_VALUE"""),"BayleyIIILanguageReceptiveSubtest")</f>
        <v>BayleyIIILanguageReceptiveSubtest</v>
      </c>
      <c r="J67" s="6" t="str">
        <f>IFERROR(__xludf.DUMMYFUNCTION("""COMPUTED_VALUE"""),"BayleyIIIReasonNoSuccessLanguageReceptiveSubtest")</f>
        <v>BayleyIIIReasonNoSuccessLanguageReceptiveSubtest</v>
      </c>
      <c r="K67" s="6" t="str">
        <f>IFERROR(__xludf.DUMMYFUNCTION("""COMPUTED_VALUE"""),"BayleyIIIReasonNoSuccessLanguageReceptiveSubtestText")</f>
        <v>BayleyIIIReasonNoSuccessLanguageReceptiveSubtestText</v>
      </c>
      <c r="L67" s="6" t="str">
        <f>IFERROR(__xludf.DUMMYFUNCTION("""COMPUTED_VALUE"""),"BayleyIIILanguageExpressiveSubtest")</f>
        <v>BayleyIIILanguageExpressiveSubtest</v>
      </c>
      <c r="M67" s="6" t="str">
        <f>IFERROR(__xludf.DUMMYFUNCTION("""COMPUTED_VALUE"""),"BayleyIIIReasonNoSuccessLanguageExpressiveSubtest")</f>
        <v>BayleyIIIReasonNoSuccessLanguageExpressiveSubtest</v>
      </c>
      <c r="N67" s="6" t="str">
        <f>IFERROR(__xludf.DUMMYFUNCTION("""COMPUTED_VALUE"""),"BayleyIIIReasonNoSuccessLanguageExpressiveSubtestText")</f>
        <v>BayleyIIIReasonNoSuccessLanguageExpressiveSubtestText</v>
      </c>
      <c r="O67" s="6" t="str">
        <f>IFERROR(__xludf.DUMMYFUNCTION("""COMPUTED_VALUE"""),"BayleyIIIMotorFineSubtest")</f>
        <v>BayleyIIIMotorFineSubtest</v>
      </c>
      <c r="P67" s="6" t="str">
        <f>IFERROR(__xludf.DUMMYFUNCTION("""COMPUTED_VALUE"""),"BayleyIIIReasonNoSuccessMotorFineSubtest")</f>
        <v>BayleyIIIReasonNoSuccessMotorFineSubtest</v>
      </c>
      <c r="Q67" s="6" t="str">
        <f>IFERROR(__xludf.DUMMYFUNCTION("""COMPUTED_VALUE"""),"BayleyIIIReasonNoSuccessMotorFineSubtestText")</f>
        <v>BayleyIIIReasonNoSuccessMotorFineSubtestText</v>
      </c>
      <c r="R67" s="6" t="str">
        <f>IFERROR(__xludf.DUMMYFUNCTION("""COMPUTED_VALUE"""),"BayleyIIIMotorGrossSubtest")</f>
        <v>BayleyIIIMotorGrossSubtest</v>
      </c>
      <c r="S67" s="6" t="str">
        <f>IFERROR(__xludf.DUMMYFUNCTION("""COMPUTED_VALUE"""),"BayleyIIIReasonNoSuccessMotorGrossSubtest")</f>
        <v>BayleyIIIReasonNoSuccessMotorGrossSubtest</v>
      </c>
      <c r="T67" s="6" t="str">
        <f>IFERROR(__xludf.DUMMYFUNCTION("""COMPUTED_VALUE"""),"BayleyIIIReasonNoSuccessMotorGrossSubtestText")</f>
        <v>BayleyIIIReasonNoSuccessMotorGrossSubtestText</v>
      </c>
      <c r="U67" s="6" t="str">
        <f>IFERROR(__xludf.DUMMYFUNCTION("""COMPUTED_VALUE"""),"BayleyIIIAdjustedAgeForCognitiveTest")</f>
        <v>BayleyIIIAdjustedAgeForCognitiveTest</v>
      </c>
      <c r="V67" s="6" t="str">
        <f>IFERROR(__xludf.DUMMYFUNCTION("""COMPUTED_VALUE"""),"BayleyIIIAdjustedAgeForReceptiveCommunication")</f>
        <v>BayleyIIIAdjustedAgeForReceptiveCommunication</v>
      </c>
      <c r="W67" s="6" t="str">
        <f>IFERROR(__xludf.DUMMYFUNCTION("""COMPUTED_VALUE"""),"BayleyIIIAdjustedAgeForExpressiveCommunication")</f>
        <v>BayleyIIIAdjustedAgeForExpressiveCommunication</v>
      </c>
      <c r="X67" s="6" t="str">
        <f>IFERROR(__xludf.DUMMYFUNCTION("""COMPUTED_VALUE"""),"BayleyIIIAdjustedAgeForMotorFineSubtest")</f>
        <v>BayleyIIIAdjustedAgeForMotorFineSubtest</v>
      </c>
      <c r="Y67" s="6" t="str">
        <f>IFERROR(__xludf.DUMMYFUNCTION("""COMPUTED_VALUE"""),"BayleyIIIAdjustedAgeForMotorGrossSubtest")</f>
        <v>BayleyIIIAdjustedAgeForMotorGrossSubtest</v>
      </c>
      <c r="Z67" s="6" t="str">
        <f>IFERROR(__xludf.DUMMYFUNCTION("""COMPUTED_VALUE"""),"BayleyIIICognitiveRaw")</f>
        <v>BayleyIIICognitiveRaw</v>
      </c>
      <c r="AA67" s="6" t="str">
        <f>IFERROR(__xludf.DUMMYFUNCTION("""COMPUTED_VALUE"""),"BayleyIIICognitiveScale")</f>
        <v>BayleyIIICognitiveScale</v>
      </c>
      <c r="AB67" s="6" t="str">
        <f>IFERROR(__xludf.DUMMYFUNCTION("""COMPUTED_VALUE"""),"BayleyIIICognitiveComposite")</f>
        <v>BayleyIIICognitiveComposite</v>
      </c>
      <c r="AC67" s="6" t="str">
        <f>IFERROR(__xludf.DUMMYFUNCTION("""COMPUTED_VALUE"""),"BayleyIIIReceptiveRaw")</f>
        <v>BayleyIIIReceptiveRaw</v>
      </c>
      <c r="AD67" s="6" t="str">
        <f>IFERROR(__xludf.DUMMYFUNCTION("""COMPUTED_VALUE"""),"BayleyIIIReceptiveScale")</f>
        <v>BayleyIIIReceptiveScale</v>
      </c>
      <c r="AE67" s="6" t="str">
        <f>IFERROR(__xludf.DUMMYFUNCTION("""COMPUTED_VALUE"""),"BayleyIIIExpressiveRaw")</f>
        <v>BayleyIIIExpressiveRaw</v>
      </c>
      <c r="AF67" s="6" t="str">
        <f>IFERROR(__xludf.DUMMYFUNCTION("""COMPUTED_VALUE"""),"BayleyIIIExpressiveScale")</f>
        <v>BayleyIIIExpressiveScale</v>
      </c>
      <c r="AG67" s="6" t="str">
        <f>IFERROR(__xludf.DUMMYFUNCTION("""COMPUTED_VALUE"""),"BayleyIIISumLanguageScore")</f>
        <v>BayleyIIISumLanguageScore</v>
      </c>
      <c r="AH67" s="6" t="str">
        <f>IFERROR(__xludf.DUMMYFUNCTION("""COMPUTED_VALUE"""),"BayleyIIILanguageComposite")</f>
        <v>BayleyIIILanguageComposite</v>
      </c>
      <c r="AI67" s="6" t="str">
        <f>IFERROR(__xludf.DUMMYFUNCTION("""COMPUTED_VALUE"""),"BayleyIIIMotorFineRaw")</f>
        <v>BayleyIIIMotorFineRaw</v>
      </c>
      <c r="AJ67" s="6" t="str">
        <f>IFERROR(__xludf.DUMMYFUNCTION("""COMPUTED_VALUE"""),"BayleyIIIMotorFineScale")</f>
        <v>BayleyIIIMotorFineScale</v>
      </c>
      <c r="AK67" s="6" t="str">
        <f>IFERROR(__xludf.DUMMYFUNCTION("""COMPUTED_VALUE"""),"BayleyIIIMotorGrossRaw")</f>
        <v>BayleyIIIMotorGrossRaw</v>
      </c>
      <c r="AL67" s="6" t="str">
        <f>IFERROR(__xludf.DUMMYFUNCTION("""COMPUTED_VALUE"""),"BayleyIIIMotorGrossScale")</f>
        <v>BayleyIIIMotorGrossScale</v>
      </c>
      <c r="AM67" s="6" t="str">
        <f>IFERROR(__xludf.DUMMYFUNCTION("""COMPUTED_VALUE"""),"BayleyIIISumMotorScore")</f>
        <v>BayleyIIISumMotorScore</v>
      </c>
      <c r="AN67" s="6" t="str">
        <f>IFERROR(__xludf.DUMMYFUNCTION("""COMPUTED_VALUE"""),"BayleyIIIMotorComposite")</f>
        <v>BayleyIIIMotorComposite</v>
      </c>
      <c r="AO67" s="6" t="str">
        <f>IFERROR(__xludf.DUMMYFUNCTION("""COMPUTED_VALUE"""),"BayleyIIIInEnglish")</f>
        <v>BayleyIIIInEnglish</v>
      </c>
      <c r="AP67" s="6" t="str">
        <f>IFERROR(__xludf.DUMMYFUNCTION("""COMPUTED_VALUE"""),"BayleyIIIRequireInterpreter")</f>
        <v>BayleyIIIRequireInterpreter</v>
      </c>
      <c r="AQ67" s="6" t="str">
        <f>IFERROR(__xludf.DUMMYFUNCTION("""COMPUTED_VALUE"""),"BayleyIIIAdministratorMaskedToChildHistory")</f>
        <v>BayleyIIIAdministratorMaskedToChildHistory</v>
      </c>
      <c r="AR67" s="6" t="str">
        <f>IFERROR(__xludf.DUMMYFUNCTION("""COMPUTED_VALUE"""),"BayleyIIIWhere")</f>
        <v>BayleyIIIWhere</v>
      </c>
      <c r="AS67" s="6" t="str">
        <f>IFERROR(__xludf.DUMMYFUNCTION("""COMPUTED_VALUE"""),"BayleyIIIDate")</f>
        <v>BayleyIIIDate</v>
      </c>
      <c r="AT67" s="6" t="str">
        <f>IFERROR(__xludf.DUMMYFUNCTION("""COMPUTED_VALUE"""),"]")</f>
        <v>]</v>
      </c>
    </row>
    <row r="68">
      <c r="A68" s="1" t="str">
        <f>'01-number of variables'!A68</f>
        <v>20-05-gmfcs.csv</v>
      </c>
      <c r="B68" s="1">
        <f>'01-number of variables'!B68</f>
        <v>1</v>
      </c>
      <c r="C68" s="1" t="str">
        <f>'01-number of variables'!C68</f>
        <v>['grossMotorFunctionLevel']</v>
      </c>
      <c r="E68" s="1" t="str">
        <f>IFERROR(__xludf.DUMMYFUNCTION("split(C68, ""', '"")"),"[")</f>
        <v>[</v>
      </c>
      <c r="F68" s="6" t="str">
        <f>IFERROR(__xludf.DUMMYFUNCTION("""COMPUTED_VALUE"""),"grossMotorFunctionLevel")</f>
        <v>grossMotorFunctionLevel</v>
      </c>
      <c r="G68" s="6" t="str">
        <f>IFERROR(__xludf.DUMMYFUNCTION("""COMPUTED_VALUE"""),"]")</f>
        <v>]</v>
      </c>
    </row>
    <row r="69">
      <c r="A69" s="1" t="str">
        <f>'01-number of variables'!A69</f>
        <v>20-06-status.csv</v>
      </c>
      <c r="B69" s="1">
        <f>'01-number of variables'!B69</f>
        <v>8</v>
      </c>
      <c r="C69" s="1" t="str">
        <f>'01-number of variables'!C69</f>
        <v>['statusVisitDate', 'statusBirthDate', 'childFinalStatus', 'deathDate', 'deathCause', 'reasonLossFollowUp', 'firstVisitDate', 'finalVisitDate']</v>
      </c>
      <c r="E69" s="1" t="str">
        <f>IFERROR(__xludf.DUMMYFUNCTION("split(C69, ""', '"")"),"[")</f>
        <v>[</v>
      </c>
      <c r="F69" s="6" t="str">
        <f>IFERROR(__xludf.DUMMYFUNCTION("""COMPUTED_VALUE"""),"statusVisitDate")</f>
        <v>statusVisitDate</v>
      </c>
      <c r="G69" s="6" t="str">
        <f>IFERROR(__xludf.DUMMYFUNCTION("""COMPUTED_VALUE"""),"statusBirthDate")</f>
        <v>statusBirthDate</v>
      </c>
      <c r="H69" s="6" t="str">
        <f>IFERROR(__xludf.DUMMYFUNCTION("""COMPUTED_VALUE"""),"childFinalStatus")</f>
        <v>childFinalStatus</v>
      </c>
      <c r="I69" s="6" t="str">
        <f>IFERROR(__xludf.DUMMYFUNCTION("""COMPUTED_VALUE"""),"deathDate")</f>
        <v>deathDate</v>
      </c>
      <c r="J69" s="6" t="str">
        <f>IFERROR(__xludf.DUMMYFUNCTION("""COMPUTED_VALUE"""),"deathCause")</f>
        <v>deathCause</v>
      </c>
      <c r="K69" s="6" t="str">
        <f>IFERROR(__xludf.DUMMYFUNCTION("""COMPUTED_VALUE"""),"reasonLossFollowUp")</f>
        <v>reasonLossFollowUp</v>
      </c>
      <c r="L69" s="6" t="str">
        <f>IFERROR(__xludf.DUMMYFUNCTION("""COMPUTED_VALUE"""),"firstVisitDate")</f>
        <v>firstVisitDate</v>
      </c>
      <c r="M69" s="6" t="str">
        <f>IFERROR(__xludf.DUMMYFUNCTION("""COMPUTED_VALUE"""),"finalVisitDate")</f>
        <v>finalVisitDate</v>
      </c>
      <c r="N69" s="6" t="str">
        <f>IFERROR(__xludf.DUMMYFUNCTION("""COMPUTED_VALUE"""),"]")</f>
        <v>]</v>
      </c>
    </row>
    <row r="70">
      <c r="A70" s="1" t="str">
        <f>'01-number of variables'!A70</f>
        <v>20-07-readmission.csv</v>
      </c>
      <c r="B70" s="1">
        <f>'01-number of variables'!B70</f>
        <v>6</v>
      </c>
      <c r="C70" s="1" t="str">
        <f>'01-number of variables'!C70</f>
        <v>['readmissionNumber', 'readmissionTimePeriod', 'readmissionPrimaryCause', 'readmissionPrimaryCauseOtherText', 'readmissionLengthOfStay', 'readmissionICU']</v>
      </c>
      <c r="E70" s="1" t="str">
        <f>IFERROR(__xludf.DUMMYFUNCTION("split(C70, ""', '"")"),"[")</f>
        <v>[</v>
      </c>
      <c r="F70" s="6" t="str">
        <f>IFERROR(__xludf.DUMMYFUNCTION("""COMPUTED_VALUE"""),"readmissionNumber")</f>
        <v>readmissionNumber</v>
      </c>
      <c r="G70" s="6" t="str">
        <f>IFERROR(__xludf.DUMMYFUNCTION("""COMPUTED_VALUE"""),"readmissionTimePeriod")</f>
        <v>readmissionTimePeriod</v>
      </c>
      <c r="H70" s="6" t="str">
        <f>IFERROR(__xludf.DUMMYFUNCTION("""COMPUTED_VALUE"""),"readmissionPrimaryCause")</f>
        <v>readmissionPrimaryCause</v>
      </c>
      <c r="I70" s="6" t="str">
        <f>IFERROR(__xludf.DUMMYFUNCTION("""COMPUTED_VALUE"""),"readmissionPrimaryCauseOtherText")</f>
        <v>readmissionPrimaryCauseOtherText</v>
      </c>
      <c r="J70" s="6" t="str">
        <f>IFERROR(__xludf.DUMMYFUNCTION("""COMPUTED_VALUE"""),"readmissionLengthOfStay")</f>
        <v>readmissionLengthOfStay</v>
      </c>
      <c r="K70" s="6" t="str">
        <f>IFERROR(__xludf.DUMMYFUNCTION("""COMPUTED_VALUE"""),"readmissionICU")</f>
        <v>readmissionICU</v>
      </c>
      <c r="L70" s="6" t="str">
        <f>IFERROR(__xludf.DUMMYFUNCTION("""COMPUTED_VALUE"""),"]")</f>
        <v>]</v>
      </c>
    </row>
    <row r="71">
      <c r="A71" s="1" t="str">
        <f>'01-number of variables'!A71</f>
        <v>20-08-lost.csv</v>
      </c>
      <c r="B71" s="1">
        <f>'01-number of variables'!B71</f>
        <v>57</v>
      </c>
      <c r="C71" s="1" t="str">
        <f>'01-number of variables'!C71</f>
        <v>['lostFollowUpInformationAvailableIndirectSrc', 'lostFollowUpLastContactDate', 'lostFollowUpFormCompleteDate', 'lostFollowUpChildAlive', 'lostFollowUpLastKnownAliveCorrectedAge_mo', 'lostFollowUpDeathDate', 'lostFollowUpInterview', 'lostFollowUpInterviewDate', 'lostFollowUpInterviewCorrectedAge_mo', 'lostFollowUpAnyQuestionCompleteChartReview', 'lostFollowUpChartReviewDate', 'lostFollowUpChartReviewCorrectedAge_mo', 'interviewChildHealth', 'interviewWalkAlone', 'interviewWalkAloneAge_mo', 'interviewSittingAlong', 'interviewHeadControl', 'interviewSee', 'interviewEyeExam', 'interviewNeedWearGlasses', 'interviewHear', 'interviewHearExam', 'interviewNeedWearHearingAid', 'interviewNumberWordVocabulary', 'interviewCombine2Words', 'interviewCombine3Words', 'interviewHydrocephalusShunt', 'interviewCerebralPalsy', 'interviewDevelopmentalDelay', 'interviewLanguageDelay', 'interviewPoorWeightGain', 'interviewSeizure', 'interviewBlindness', 'interviewOtherBehaviorProblem', 'interviewOtherBehaviorProblemText', 'interviewOtherMajorMedicalProblem', 'interviewOtherMajorMedicalProblemText', 'interviewOtherNeuraldevelopmentalProblem', 'interviewOtherNeuraldevelopmentalProblemText', 'interviewMotorGrossFunctionLevel', 'chartReviewEyeExam', 'chartReviewHearingExam', 'chartReviewNeedWearHearingAid', 'chartReviewHydrocephalusShunt', 'chartReviewCerebralPalsy', 'chartReviewDevelopmentalDelay', 'chartReviewLanguageDelay', 'chartReviewPoorWeightGain', 'chartReviewSeizure', 'chartReviewBlindness', 'chartReviewOtherBehaviorProblem', 'chartReviewOtherBehaviorProblemText', 'chartReviewOtherMajorMedicalProblem', 'chartReviewOtherMajorMedicalProblemText', 'chartReviewOtherNeuraldevelopmentalProblem', 'chartReviewOtherNeuraldevelopmentalProblemText', 'chartReviewMotorGrossFunctionLevel']</v>
      </c>
      <c r="E71" s="1" t="str">
        <f>IFERROR(__xludf.DUMMYFUNCTION("split(C71, ""', '"")"),"[")</f>
        <v>[</v>
      </c>
      <c r="F71" s="6" t="str">
        <f>IFERROR(__xludf.DUMMYFUNCTION("""COMPUTED_VALUE"""),"lostFollowUpInformationAvailableIndirectSrc")</f>
        <v>lostFollowUpInformationAvailableIndirectSrc</v>
      </c>
      <c r="G71" s="6" t="str">
        <f>IFERROR(__xludf.DUMMYFUNCTION("""COMPUTED_VALUE"""),"lostFollowUpLastContactDate")</f>
        <v>lostFollowUpLastContactDate</v>
      </c>
      <c r="H71" s="6" t="str">
        <f>IFERROR(__xludf.DUMMYFUNCTION("""COMPUTED_VALUE"""),"lostFollowUpFormCompleteDate")</f>
        <v>lostFollowUpFormCompleteDate</v>
      </c>
      <c r="I71" s="6" t="str">
        <f>IFERROR(__xludf.DUMMYFUNCTION("""COMPUTED_VALUE"""),"lostFollowUpChildAlive")</f>
        <v>lostFollowUpChildAlive</v>
      </c>
      <c r="J71" s="6" t="str">
        <f>IFERROR(__xludf.DUMMYFUNCTION("""COMPUTED_VALUE"""),"lostFollowUpLastKnownAliveCorrectedAge_mo")</f>
        <v>lostFollowUpLastKnownAliveCorrectedAge_mo</v>
      </c>
      <c r="K71" s="6" t="str">
        <f>IFERROR(__xludf.DUMMYFUNCTION("""COMPUTED_VALUE"""),"lostFollowUpDeathDate")</f>
        <v>lostFollowUpDeathDate</v>
      </c>
      <c r="L71" s="6" t="str">
        <f>IFERROR(__xludf.DUMMYFUNCTION("""COMPUTED_VALUE"""),"lostFollowUpInterview")</f>
        <v>lostFollowUpInterview</v>
      </c>
      <c r="M71" s="6" t="str">
        <f>IFERROR(__xludf.DUMMYFUNCTION("""COMPUTED_VALUE"""),"lostFollowUpInterviewDate")</f>
        <v>lostFollowUpInterviewDate</v>
      </c>
      <c r="N71" s="6" t="str">
        <f>IFERROR(__xludf.DUMMYFUNCTION("""COMPUTED_VALUE"""),"lostFollowUpInterviewCorrectedAge_mo")</f>
        <v>lostFollowUpInterviewCorrectedAge_mo</v>
      </c>
      <c r="O71" s="6" t="str">
        <f>IFERROR(__xludf.DUMMYFUNCTION("""COMPUTED_VALUE"""),"lostFollowUpAnyQuestionCompleteChartReview")</f>
        <v>lostFollowUpAnyQuestionCompleteChartReview</v>
      </c>
      <c r="P71" s="6" t="str">
        <f>IFERROR(__xludf.DUMMYFUNCTION("""COMPUTED_VALUE"""),"lostFollowUpChartReviewDate")</f>
        <v>lostFollowUpChartReviewDate</v>
      </c>
      <c r="Q71" s="6" t="str">
        <f>IFERROR(__xludf.DUMMYFUNCTION("""COMPUTED_VALUE"""),"lostFollowUpChartReviewCorrectedAge_mo")</f>
        <v>lostFollowUpChartReviewCorrectedAge_mo</v>
      </c>
      <c r="R71" s="6" t="str">
        <f>IFERROR(__xludf.DUMMYFUNCTION("""COMPUTED_VALUE"""),"interviewChildHealth")</f>
        <v>interviewChildHealth</v>
      </c>
      <c r="S71" s="6" t="str">
        <f>IFERROR(__xludf.DUMMYFUNCTION("""COMPUTED_VALUE"""),"interviewWalkAlone")</f>
        <v>interviewWalkAlone</v>
      </c>
      <c r="T71" s="6" t="str">
        <f>IFERROR(__xludf.DUMMYFUNCTION("""COMPUTED_VALUE"""),"interviewWalkAloneAge_mo")</f>
        <v>interviewWalkAloneAge_mo</v>
      </c>
      <c r="U71" s="6" t="str">
        <f>IFERROR(__xludf.DUMMYFUNCTION("""COMPUTED_VALUE"""),"interviewSittingAlong")</f>
        <v>interviewSittingAlong</v>
      </c>
      <c r="V71" s="6" t="str">
        <f>IFERROR(__xludf.DUMMYFUNCTION("""COMPUTED_VALUE"""),"interviewHeadControl")</f>
        <v>interviewHeadControl</v>
      </c>
      <c r="W71" s="6" t="str">
        <f>IFERROR(__xludf.DUMMYFUNCTION("""COMPUTED_VALUE"""),"interviewSee")</f>
        <v>interviewSee</v>
      </c>
      <c r="X71" s="6" t="str">
        <f>IFERROR(__xludf.DUMMYFUNCTION("""COMPUTED_VALUE"""),"interviewEyeExam")</f>
        <v>interviewEyeExam</v>
      </c>
      <c r="Y71" s="6" t="str">
        <f>IFERROR(__xludf.DUMMYFUNCTION("""COMPUTED_VALUE"""),"interviewNeedWearGlasses")</f>
        <v>interviewNeedWearGlasses</v>
      </c>
      <c r="Z71" s="6" t="str">
        <f>IFERROR(__xludf.DUMMYFUNCTION("""COMPUTED_VALUE"""),"interviewHear")</f>
        <v>interviewHear</v>
      </c>
      <c r="AA71" s="6" t="str">
        <f>IFERROR(__xludf.DUMMYFUNCTION("""COMPUTED_VALUE"""),"interviewHearExam")</f>
        <v>interviewHearExam</v>
      </c>
      <c r="AB71" s="6" t="str">
        <f>IFERROR(__xludf.DUMMYFUNCTION("""COMPUTED_VALUE"""),"interviewNeedWearHearingAid")</f>
        <v>interviewNeedWearHearingAid</v>
      </c>
      <c r="AC71" s="6" t="str">
        <f>IFERROR(__xludf.DUMMYFUNCTION("""COMPUTED_VALUE"""),"interviewNumberWordVocabulary")</f>
        <v>interviewNumberWordVocabulary</v>
      </c>
      <c r="AD71" s="6" t="str">
        <f>IFERROR(__xludf.DUMMYFUNCTION("""COMPUTED_VALUE"""),"interviewCombine2Words")</f>
        <v>interviewCombine2Words</v>
      </c>
      <c r="AE71" s="6" t="str">
        <f>IFERROR(__xludf.DUMMYFUNCTION("""COMPUTED_VALUE"""),"interviewCombine3Words")</f>
        <v>interviewCombine3Words</v>
      </c>
      <c r="AF71" s="6" t="str">
        <f>IFERROR(__xludf.DUMMYFUNCTION("""COMPUTED_VALUE"""),"interviewHydrocephalusShunt")</f>
        <v>interviewHydrocephalusShunt</v>
      </c>
      <c r="AG71" s="6" t="str">
        <f>IFERROR(__xludf.DUMMYFUNCTION("""COMPUTED_VALUE"""),"interviewCerebralPalsy")</f>
        <v>interviewCerebralPalsy</v>
      </c>
      <c r="AH71" s="6" t="str">
        <f>IFERROR(__xludf.DUMMYFUNCTION("""COMPUTED_VALUE"""),"interviewDevelopmentalDelay")</f>
        <v>interviewDevelopmentalDelay</v>
      </c>
      <c r="AI71" s="6" t="str">
        <f>IFERROR(__xludf.DUMMYFUNCTION("""COMPUTED_VALUE"""),"interviewLanguageDelay")</f>
        <v>interviewLanguageDelay</v>
      </c>
      <c r="AJ71" s="6" t="str">
        <f>IFERROR(__xludf.DUMMYFUNCTION("""COMPUTED_VALUE"""),"interviewPoorWeightGain")</f>
        <v>interviewPoorWeightGain</v>
      </c>
      <c r="AK71" s="6" t="str">
        <f>IFERROR(__xludf.DUMMYFUNCTION("""COMPUTED_VALUE"""),"interviewSeizure")</f>
        <v>interviewSeizure</v>
      </c>
      <c r="AL71" s="6" t="str">
        <f>IFERROR(__xludf.DUMMYFUNCTION("""COMPUTED_VALUE"""),"interviewBlindness")</f>
        <v>interviewBlindness</v>
      </c>
      <c r="AM71" s="6" t="str">
        <f>IFERROR(__xludf.DUMMYFUNCTION("""COMPUTED_VALUE"""),"interviewOtherBehaviorProblem")</f>
        <v>interviewOtherBehaviorProblem</v>
      </c>
      <c r="AN71" s="6" t="str">
        <f>IFERROR(__xludf.DUMMYFUNCTION("""COMPUTED_VALUE"""),"interviewOtherBehaviorProblemText")</f>
        <v>interviewOtherBehaviorProblemText</v>
      </c>
      <c r="AO71" s="6" t="str">
        <f>IFERROR(__xludf.DUMMYFUNCTION("""COMPUTED_VALUE"""),"interviewOtherMajorMedicalProblem")</f>
        <v>interviewOtherMajorMedicalProblem</v>
      </c>
      <c r="AP71" s="6" t="str">
        <f>IFERROR(__xludf.DUMMYFUNCTION("""COMPUTED_VALUE"""),"interviewOtherMajorMedicalProblemText")</f>
        <v>interviewOtherMajorMedicalProblemText</v>
      </c>
      <c r="AQ71" s="6" t="str">
        <f>IFERROR(__xludf.DUMMYFUNCTION("""COMPUTED_VALUE"""),"interviewOtherNeuraldevelopmentalProblem")</f>
        <v>interviewOtherNeuraldevelopmentalProblem</v>
      </c>
      <c r="AR71" s="6" t="str">
        <f>IFERROR(__xludf.DUMMYFUNCTION("""COMPUTED_VALUE"""),"interviewOtherNeuraldevelopmentalProblemText")</f>
        <v>interviewOtherNeuraldevelopmentalProblemText</v>
      </c>
      <c r="AS71" s="6" t="str">
        <f>IFERROR(__xludf.DUMMYFUNCTION("""COMPUTED_VALUE"""),"interviewMotorGrossFunctionLevel")</f>
        <v>interviewMotorGrossFunctionLevel</v>
      </c>
      <c r="AT71" s="6" t="str">
        <f>IFERROR(__xludf.DUMMYFUNCTION("""COMPUTED_VALUE"""),"chartReviewEyeExam")</f>
        <v>chartReviewEyeExam</v>
      </c>
      <c r="AU71" s="6" t="str">
        <f>IFERROR(__xludf.DUMMYFUNCTION("""COMPUTED_VALUE"""),"chartReviewHearingExam")</f>
        <v>chartReviewHearingExam</v>
      </c>
      <c r="AV71" s="6" t="str">
        <f>IFERROR(__xludf.DUMMYFUNCTION("""COMPUTED_VALUE"""),"chartReviewNeedWearHearingAid")</f>
        <v>chartReviewNeedWearHearingAid</v>
      </c>
      <c r="AW71" s="6" t="str">
        <f>IFERROR(__xludf.DUMMYFUNCTION("""COMPUTED_VALUE"""),"chartReviewHydrocephalusShunt")</f>
        <v>chartReviewHydrocephalusShunt</v>
      </c>
      <c r="AX71" s="6" t="str">
        <f>IFERROR(__xludf.DUMMYFUNCTION("""COMPUTED_VALUE"""),"chartReviewCerebralPalsy")</f>
        <v>chartReviewCerebralPalsy</v>
      </c>
      <c r="AY71" s="6" t="str">
        <f>IFERROR(__xludf.DUMMYFUNCTION("""COMPUTED_VALUE"""),"chartReviewDevelopmentalDelay")</f>
        <v>chartReviewDevelopmentalDelay</v>
      </c>
      <c r="AZ71" s="6" t="str">
        <f>IFERROR(__xludf.DUMMYFUNCTION("""COMPUTED_VALUE"""),"chartReviewLanguageDelay")</f>
        <v>chartReviewLanguageDelay</v>
      </c>
      <c r="BA71" s="6" t="str">
        <f>IFERROR(__xludf.DUMMYFUNCTION("""COMPUTED_VALUE"""),"chartReviewPoorWeightGain")</f>
        <v>chartReviewPoorWeightGain</v>
      </c>
      <c r="BB71" s="6" t="str">
        <f>IFERROR(__xludf.DUMMYFUNCTION("""COMPUTED_VALUE"""),"chartReviewSeizure")</f>
        <v>chartReviewSeizure</v>
      </c>
      <c r="BC71" s="6" t="str">
        <f>IFERROR(__xludf.DUMMYFUNCTION("""COMPUTED_VALUE"""),"chartReviewBlindness")</f>
        <v>chartReviewBlindness</v>
      </c>
      <c r="BD71" s="6" t="str">
        <f>IFERROR(__xludf.DUMMYFUNCTION("""COMPUTED_VALUE"""),"chartReviewOtherBehaviorProblem")</f>
        <v>chartReviewOtherBehaviorProblem</v>
      </c>
      <c r="BE71" s="6" t="str">
        <f>IFERROR(__xludf.DUMMYFUNCTION("""COMPUTED_VALUE"""),"chartReviewOtherBehaviorProblemText")</f>
        <v>chartReviewOtherBehaviorProblemText</v>
      </c>
      <c r="BF71" s="6" t="str">
        <f>IFERROR(__xludf.DUMMYFUNCTION("""COMPUTED_VALUE"""),"chartReviewOtherMajorMedicalProblem")</f>
        <v>chartReviewOtherMajorMedicalProblem</v>
      </c>
      <c r="BG71" s="6" t="str">
        <f>IFERROR(__xludf.DUMMYFUNCTION("""COMPUTED_VALUE"""),"chartReviewOtherMajorMedicalProblemText")</f>
        <v>chartReviewOtherMajorMedicalProblemText</v>
      </c>
      <c r="BH71" s="6" t="str">
        <f>IFERROR(__xludf.DUMMYFUNCTION("""COMPUTED_VALUE"""),"chartReviewOtherNeuraldevelopmentalProblem")</f>
        <v>chartReviewOtherNeuraldevelopmentalProblem</v>
      </c>
      <c r="BI71" s="6" t="str">
        <f>IFERROR(__xludf.DUMMYFUNCTION("""COMPUTED_VALUE"""),"chartReviewOtherNeuraldevelopmentalProblemText")</f>
        <v>chartReviewOtherNeuraldevelopmentalProblemText</v>
      </c>
      <c r="BJ71" s="6" t="str">
        <f>IFERROR(__xludf.DUMMYFUNCTION("""COMPUTED_VALUE"""),"chartReviewMotorGrossFunctionLevel")</f>
        <v>chartReviewMotorGrossFunctionLevel</v>
      </c>
      <c r="BK71" s="6" t="str">
        <f>IFERROR(__xludf.DUMMYFUNCTION("""COMPUTED_VALUE"""),"]")</f>
        <v>]</v>
      </c>
    </row>
    <row r="72">
      <c r="A72" s="1" t="str">
        <f>'01-number of variables'!A72</f>
        <v>20-09-secondary.csv</v>
      </c>
      <c r="B72" s="1">
        <f>'01-number of variables'!B72</f>
        <v>9</v>
      </c>
      <c r="C72" s="1" t="str">
        <f>'01-number of variables'!C72</f>
        <v>['blindness', 'moderateSevereCerebralPalsy', 'cerebralPalsyMerge', 'gastrostomyTube_b', 'grossMotorFunctionLevelSeverity', 'hearingImpairedWithAid', 'hearingImpairedLevel', 'multipleImpairment', 'afterDischargeSeizure']</v>
      </c>
      <c r="E72" s="1" t="str">
        <f>IFERROR(__xludf.DUMMYFUNCTION("split(C72, ""', '"")"),"[")</f>
        <v>[</v>
      </c>
      <c r="F72" s="6" t="str">
        <f>IFERROR(__xludf.DUMMYFUNCTION("""COMPUTED_VALUE"""),"blindness")</f>
        <v>blindness</v>
      </c>
      <c r="G72" s="6" t="str">
        <f>IFERROR(__xludf.DUMMYFUNCTION("""COMPUTED_VALUE"""),"moderateSevereCerebralPalsy")</f>
        <v>moderateSevereCerebralPalsy</v>
      </c>
      <c r="H72" s="6" t="str">
        <f>IFERROR(__xludf.DUMMYFUNCTION("""COMPUTED_VALUE"""),"cerebralPalsyMerge")</f>
        <v>cerebralPalsyMerge</v>
      </c>
      <c r="I72" s="6" t="str">
        <f>IFERROR(__xludf.DUMMYFUNCTION("""COMPUTED_VALUE"""),"gastrostomyTube_b")</f>
        <v>gastrostomyTube_b</v>
      </c>
      <c r="J72" s="6" t="str">
        <f>IFERROR(__xludf.DUMMYFUNCTION("""COMPUTED_VALUE"""),"grossMotorFunctionLevelSeverity")</f>
        <v>grossMotorFunctionLevelSeverity</v>
      </c>
      <c r="K72" s="6" t="str">
        <f>IFERROR(__xludf.DUMMYFUNCTION("""COMPUTED_VALUE"""),"hearingImpairedWithAid")</f>
        <v>hearingImpairedWithAid</v>
      </c>
      <c r="L72" s="6" t="str">
        <f>IFERROR(__xludf.DUMMYFUNCTION("""COMPUTED_VALUE"""),"hearingImpairedLevel")</f>
        <v>hearingImpairedLevel</v>
      </c>
      <c r="M72" s="6" t="str">
        <f>IFERROR(__xludf.DUMMYFUNCTION("""COMPUTED_VALUE"""),"multipleImpairment")</f>
        <v>multipleImpairment</v>
      </c>
      <c r="N72" s="6" t="str">
        <f>IFERROR(__xludf.DUMMYFUNCTION("""COMPUTED_VALUE"""),"afterDischargeSeizure")</f>
        <v>afterDischargeSeizure</v>
      </c>
      <c r="O72" s="6" t="str">
        <f>IFERROR(__xludf.DUMMYFUNCTION("""COMPUTED_VALUE"""),"]")</f>
        <v>]</v>
      </c>
    </row>
    <row r="73">
      <c r="A73" s="1" t="str">
        <f>'01-number of variables'!A73</f>
        <v>20-10-outcome.csv</v>
      </c>
      <c r="B73" s="1">
        <f>'01-number of variables'!B73</f>
        <v>12</v>
      </c>
      <c r="C73" s="1" t="str">
        <f>'01-number of variables'!C73</f>
        <v>['flagAdjudicatedOutcome', 'normalPrimaryOutcome', 'BayleyIIILanguage', 'BayleyIIIMotor', 'BayleyIIICognitive', 'deathBeforeFollowup', 'deathBeforeDischarge', 'disabilityLevelSurvivor', 'disabilityLevelDeath4Category', 'moderateSevereDisabilityOrDeath', 'moderateSevereDisabilitySurvivor', 'outcomeGroup']</v>
      </c>
      <c r="E73" s="1" t="str">
        <f>IFERROR(__xludf.DUMMYFUNCTION("split(C73, ""', '"")"),"[")</f>
        <v>[</v>
      </c>
      <c r="F73" s="6" t="str">
        <f>IFERROR(__xludf.DUMMYFUNCTION("""COMPUTED_VALUE"""),"flagAdjudicatedOutcome")</f>
        <v>flagAdjudicatedOutcome</v>
      </c>
      <c r="G73" s="6" t="str">
        <f>IFERROR(__xludf.DUMMYFUNCTION("""COMPUTED_VALUE"""),"normalPrimaryOutcome")</f>
        <v>normalPrimaryOutcome</v>
      </c>
      <c r="H73" s="6" t="str">
        <f>IFERROR(__xludf.DUMMYFUNCTION("""COMPUTED_VALUE"""),"BayleyIIILanguage")</f>
        <v>BayleyIIILanguage</v>
      </c>
      <c r="I73" s="6" t="str">
        <f>IFERROR(__xludf.DUMMYFUNCTION("""COMPUTED_VALUE"""),"BayleyIIIMotor")</f>
        <v>BayleyIIIMotor</v>
      </c>
      <c r="J73" s="6" t="str">
        <f>IFERROR(__xludf.DUMMYFUNCTION("""COMPUTED_VALUE"""),"BayleyIIICognitive")</f>
        <v>BayleyIIICognitive</v>
      </c>
      <c r="K73" s="6" t="str">
        <f>IFERROR(__xludf.DUMMYFUNCTION("""COMPUTED_VALUE"""),"deathBeforeFollowup")</f>
        <v>deathBeforeFollowup</v>
      </c>
      <c r="L73" s="6" t="str">
        <f>IFERROR(__xludf.DUMMYFUNCTION("""COMPUTED_VALUE"""),"deathBeforeDischarge")</f>
        <v>deathBeforeDischarge</v>
      </c>
      <c r="M73" s="6" t="str">
        <f>IFERROR(__xludf.DUMMYFUNCTION("""COMPUTED_VALUE"""),"disabilityLevelSurvivor")</f>
        <v>disabilityLevelSurvivor</v>
      </c>
      <c r="N73" s="6" t="str">
        <f>IFERROR(__xludf.DUMMYFUNCTION("""COMPUTED_VALUE"""),"disabilityLevelDeath4Category")</f>
        <v>disabilityLevelDeath4Category</v>
      </c>
      <c r="O73" s="6" t="str">
        <f>IFERROR(__xludf.DUMMYFUNCTION("""COMPUTED_VALUE"""),"moderateSevereDisabilityOrDeath")</f>
        <v>moderateSevereDisabilityOrDeath</v>
      </c>
      <c r="P73" s="6" t="str">
        <f>IFERROR(__xludf.DUMMYFUNCTION("""COMPUTED_VALUE"""),"moderateSevereDisabilitySurvivor")</f>
        <v>moderateSevereDisabilitySurvivor</v>
      </c>
      <c r="Q73" s="6" t="str">
        <f>IFERROR(__xludf.DUMMYFUNCTION("""COMPUTED_VALUE"""),"outcomeGroup")</f>
        <v>outcomeGroup</v>
      </c>
      <c r="R73" s="6" t="str">
        <f>IFERROR(__xludf.DUMMYFUNCTION("""COMPUTED_VALUE"""),"]")</f>
        <v>]</v>
      </c>
    </row>
    <row r="74">
      <c r="A74" s="1" t="str">
        <f>'01-number of variables'!A74</f>
        <v>20-10_1-disability-level-death.csv</v>
      </c>
      <c r="B74" s="1">
        <f>'01-number of variables'!B74</f>
        <v>1</v>
      </c>
      <c r="C74" s="1" t="str">
        <f>'01-number of variables'!C74</f>
        <v>['disabilityLevelDeath']</v>
      </c>
      <c r="E74" s="1" t="str">
        <f>IFERROR(__xludf.DUMMYFUNCTION("split(C74, ""', '"")"),"[")</f>
        <v>[</v>
      </c>
      <c r="F74" s="6" t="str">
        <f>IFERROR(__xludf.DUMMYFUNCTION("""COMPUTED_VALUE"""),"disabilityLevelDeath")</f>
        <v>disabilityLevelDeath</v>
      </c>
      <c r="G74" s="6" t="str">
        <f>IFERROR(__xludf.DUMMYFUNCTION("""COMPUTED_VALUE"""),"]")</f>
        <v>]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25"/>
    <col customWidth="1" min="2" max="2" width="51.63"/>
    <col customWidth="1" min="10" max="10" width="18.75"/>
    <col customWidth="1" min="11" max="11" width="13.5"/>
    <col customWidth="1" min="12" max="12" width="7.88"/>
    <col customWidth="1" min="13" max="13" width="26.63"/>
  </cols>
  <sheetData>
    <row r="1">
      <c r="A1" s="1" t="s">
        <v>0</v>
      </c>
      <c r="B1" s="1" t="s">
        <v>152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  <c r="I1" s="1" t="s">
        <v>159</v>
      </c>
      <c r="J1" s="1" t="s">
        <v>160</v>
      </c>
      <c r="K1" s="1" t="s">
        <v>161</v>
      </c>
      <c r="L1" s="1" t="s">
        <v>162</v>
      </c>
      <c r="M1" s="1" t="s">
        <v>163</v>
      </c>
      <c r="N1" s="1" t="s">
        <v>164</v>
      </c>
      <c r="O1" s="1" t="s">
        <v>165</v>
      </c>
      <c r="P1" s="1" t="s">
        <v>166</v>
      </c>
      <c r="Q1" s="1" t="s">
        <v>167</v>
      </c>
      <c r="R1" s="1" t="s">
        <v>168</v>
      </c>
      <c r="S1" s="6" t="s">
        <v>169</v>
      </c>
      <c r="T1" s="6" t="s">
        <v>169</v>
      </c>
    </row>
    <row r="2">
      <c r="A2" s="1"/>
      <c r="B2" s="6" t="s">
        <v>170</v>
      </c>
      <c r="F2" s="7"/>
      <c r="G2" s="7"/>
      <c r="H2" s="1" t="s">
        <v>171</v>
      </c>
      <c r="I2" s="1" t="s">
        <v>172</v>
      </c>
      <c r="L2" s="1"/>
      <c r="M2" s="1" t="s">
        <v>171</v>
      </c>
      <c r="N2" s="6">
        <f>IFERROR(__xludf.DUMMYFUNCTION("IF(REGEXMATCH(A2, ""^00-""), 0, IF(AND(EQ(F2, """"), EQ(G2, """")), 1, 0))"),1.0)</f>
        <v>1</v>
      </c>
      <c r="O2" s="6">
        <f>IFERROR(__xludf.DUMMYFUNCTION("IF(REGEXMATCH(A2, ""^00-""), 0, IF(AND(NE(F2, """"), EQ(G2, """")), 1, 0))"),0.0)</f>
        <v>0</v>
      </c>
      <c r="P2" s="6">
        <f>IFERROR(__xludf.DUMMYFUNCTION("IF(REGEXMATCH(A2, ""^00-""), 0, IF(AND(EQ(F2, """"), NE(G2, """")), 1, 0))"),0.0)</f>
        <v>0</v>
      </c>
      <c r="Q2" s="6">
        <f>IFERROR(__xludf.DUMMYFUNCTION("IF(REGEXMATCH(A2, ""^00-""), 0, IF(AND(NE(F2, """"), NE(G2, """")), 1, 0))"),0.0)</f>
        <v>0</v>
      </c>
      <c r="R2" s="6">
        <f t="shared" ref="R2:R1182" si="1">N2+O2+P2+Q2</f>
        <v>1</v>
      </c>
    </row>
    <row r="3">
      <c r="A3" s="1"/>
      <c r="B3" s="6" t="s">
        <v>173</v>
      </c>
      <c r="C3" s="1"/>
      <c r="D3" s="1"/>
      <c r="E3" s="1"/>
      <c r="F3" s="8" t="s">
        <v>174</v>
      </c>
      <c r="G3" s="8" t="s">
        <v>174</v>
      </c>
      <c r="H3" s="1" t="s">
        <v>171</v>
      </c>
      <c r="I3" s="1" t="s">
        <v>172</v>
      </c>
      <c r="L3" s="1"/>
      <c r="M3" s="1" t="s">
        <v>171</v>
      </c>
      <c r="N3" s="6">
        <f>IFERROR(__xludf.DUMMYFUNCTION("IF(REGEXMATCH(A3, ""^00-""), 0, IF(AND(EQ(F3, """"), EQ(G3, """")), 1, 0))"),0.0)</f>
        <v>0</v>
      </c>
      <c r="O3" s="6">
        <f>IFERROR(__xludf.DUMMYFUNCTION("IF(REGEXMATCH(A3, ""^00-""), 0, IF(AND(NE(F3, """"), EQ(G3, """")), 1, 0))"),0.0)</f>
        <v>0</v>
      </c>
      <c r="P3" s="6">
        <f>IFERROR(__xludf.DUMMYFUNCTION("IF(REGEXMATCH(A3, ""^00-""), 0, IF(AND(EQ(F3, """"), NE(G3, """")), 1, 0))"),0.0)</f>
        <v>0</v>
      </c>
      <c r="Q3" s="6">
        <f>IFERROR(__xludf.DUMMYFUNCTION("IF(REGEXMATCH(A3, ""^00-""), 0, IF(AND(NE(F3, """"), NE(G3, """")), 1, 0))"),1.0)</f>
        <v>1</v>
      </c>
      <c r="R3" s="6">
        <f t="shared" si="1"/>
        <v>1</v>
      </c>
    </row>
    <row r="4">
      <c r="A4" s="1"/>
      <c r="B4" s="6" t="s">
        <v>175</v>
      </c>
      <c r="C4" s="1"/>
      <c r="D4" s="1"/>
      <c r="E4" s="1"/>
      <c r="F4" s="8" t="s">
        <v>176</v>
      </c>
      <c r="G4" s="8" t="s">
        <v>176</v>
      </c>
      <c r="H4" s="1" t="s">
        <v>171</v>
      </c>
      <c r="I4" s="1" t="s">
        <v>172</v>
      </c>
      <c r="L4" s="1"/>
      <c r="M4" s="1" t="s">
        <v>171</v>
      </c>
      <c r="N4" s="6">
        <f>IFERROR(__xludf.DUMMYFUNCTION("IF(REGEXMATCH(A4, ""^00-""), 0, IF(AND(EQ(F4, """"), EQ(G4, """")), 1, 0))"),0.0)</f>
        <v>0</v>
      </c>
      <c r="O4" s="6">
        <f>IFERROR(__xludf.DUMMYFUNCTION("IF(REGEXMATCH(A4, ""^00-""), 0, IF(AND(NE(F4, """"), EQ(G4, """")), 1, 0))"),0.0)</f>
        <v>0</v>
      </c>
      <c r="P4" s="6">
        <f>IFERROR(__xludf.DUMMYFUNCTION("IF(REGEXMATCH(A4, ""^00-""), 0, IF(AND(EQ(F4, """"), NE(G4, """")), 1, 0))"),0.0)</f>
        <v>0</v>
      </c>
      <c r="Q4" s="6">
        <f>IFERROR(__xludf.DUMMYFUNCTION("IF(REGEXMATCH(A4, ""^00-""), 0, IF(AND(NE(F4, """"), NE(G4, """")), 1, 0))"),1.0)</f>
        <v>1</v>
      </c>
      <c r="R4" s="6">
        <f t="shared" si="1"/>
        <v>1</v>
      </c>
    </row>
    <row r="5">
      <c r="A5" s="1"/>
      <c r="B5" s="6" t="s">
        <v>177</v>
      </c>
      <c r="D5" s="1"/>
      <c r="E5" s="1"/>
      <c r="F5" s="9" t="s">
        <v>174</v>
      </c>
      <c r="G5" s="9" t="s">
        <v>174</v>
      </c>
      <c r="H5" s="1" t="s">
        <v>171</v>
      </c>
      <c r="I5" s="1" t="s">
        <v>172</v>
      </c>
      <c r="L5" s="1"/>
      <c r="M5" s="1" t="s">
        <v>171</v>
      </c>
      <c r="N5" s="6">
        <f>IFERROR(__xludf.DUMMYFUNCTION("IF(REGEXMATCH(A5, ""^00-""), 0, IF(AND(EQ(F5, """"), EQ(G5, """")), 1, 0))"),0.0)</f>
        <v>0</v>
      </c>
      <c r="O5" s="6">
        <f>IFERROR(__xludf.DUMMYFUNCTION("IF(REGEXMATCH(A5, ""^00-""), 0, IF(AND(NE(F5, """"), EQ(G5, """")), 1, 0))"),0.0)</f>
        <v>0</v>
      </c>
      <c r="P5" s="6">
        <f>IFERROR(__xludf.DUMMYFUNCTION("IF(REGEXMATCH(A5, ""^00-""), 0, IF(AND(EQ(F5, """"), NE(G5, """")), 1, 0))"),0.0)</f>
        <v>0</v>
      </c>
      <c r="Q5" s="6">
        <f>IFERROR(__xludf.DUMMYFUNCTION("IF(REGEXMATCH(A5, ""^00-""), 0, IF(AND(NE(F5, """"), NE(G5, """")), 1, 0))"),1.0)</f>
        <v>1</v>
      </c>
      <c r="R5" s="6">
        <f t="shared" si="1"/>
        <v>1</v>
      </c>
    </row>
    <row r="6">
      <c r="A6" s="1"/>
      <c r="B6" s="6" t="s">
        <v>178</v>
      </c>
      <c r="C6" s="1"/>
      <c r="D6" s="1"/>
      <c r="E6" s="1"/>
      <c r="F6" s="9" t="s">
        <v>179</v>
      </c>
      <c r="G6" s="9" t="s">
        <v>179</v>
      </c>
      <c r="H6" s="1" t="s">
        <v>171</v>
      </c>
      <c r="I6" s="1" t="s">
        <v>172</v>
      </c>
      <c r="L6" s="1"/>
      <c r="M6" s="1" t="s">
        <v>171</v>
      </c>
      <c r="N6" s="6">
        <f>IFERROR(__xludf.DUMMYFUNCTION("IF(REGEXMATCH(A6, ""^00-""), 0, IF(AND(EQ(F6, """"), EQ(G6, """")), 1, 0))"),0.0)</f>
        <v>0</v>
      </c>
      <c r="O6" s="6">
        <f>IFERROR(__xludf.DUMMYFUNCTION("IF(REGEXMATCH(A6, ""^00-""), 0, IF(AND(NE(F6, """"), EQ(G6, """")), 1, 0))"),0.0)</f>
        <v>0</v>
      </c>
      <c r="P6" s="6">
        <f>IFERROR(__xludf.DUMMYFUNCTION("IF(REGEXMATCH(A6, ""^00-""), 0, IF(AND(EQ(F6, """"), NE(G6, """")), 1, 0))"),0.0)</f>
        <v>0</v>
      </c>
      <c r="Q6" s="6">
        <f>IFERROR(__xludf.DUMMYFUNCTION("IF(REGEXMATCH(A6, ""^00-""), 0, IF(AND(NE(F6, """"), NE(G6, """")), 1, 0))"),1.0)</f>
        <v>1</v>
      </c>
      <c r="R6" s="6">
        <f t="shared" si="1"/>
        <v>1</v>
      </c>
    </row>
    <row r="7">
      <c r="A7" s="1" t="s">
        <v>8</v>
      </c>
      <c r="B7" s="1" t="s">
        <v>180</v>
      </c>
      <c r="C7" s="1">
        <v>532.0</v>
      </c>
      <c r="D7" s="1">
        <v>0.0</v>
      </c>
      <c r="E7" s="1">
        <v>532.0</v>
      </c>
      <c r="F7" s="1" t="s">
        <v>181</v>
      </c>
      <c r="G7" s="1" t="s">
        <v>181</v>
      </c>
      <c r="H7" s="1" t="s">
        <v>182</v>
      </c>
      <c r="I7" s="1" t="s">
        <v>172</v>
      </c>
      <c r="J7" s="1" t="s">
        <v>183</v>
      </c>
      <c r="K7" s="1" t="s">
        <v>184</v>
      </c>
      <c r="L7" s="1"/>
      <c r="M7" s="1" t="s">
        <v>185</v>
      </c>
      <c r="N7" s="6">
        <f>IFERROR(__xludf.DUMMYFUNCTION("IF(REGEXMATCH(A7, ""^00-""), 0, IF(AND(EQ(F7, """"), EQ(G7, """")), 1, 0))"),0.0)</f>
        <v>0</v>
      </c>
      <c r="O7" s="6">
        <f>IFERROR(__xludf.DUMMYFUNCTION("IF(REGEXMATCH(A7, ""^00-""), 0, IF(AND(NE(F7, """"), EQ(G7, """")), 1, 0))"),0.0)</f>
        <v>0</v>
      </c>
      <c r="P7" s="6">
        <f>IFERROR(__xludf.DUMMYFUNCTION("IF(REGEXMATCH(A7, ""^00-""), 0, IF(AND(EQ(F7, """"), NE(G7, """")), 1, 0))"),0.0)</f>
        <v>0</v>
      </c>
      <c r="Q7" s="6">
        <f>IFERROR(__xludf.DUMMYFUNCTION("IF(REGEXMATCH(A7, ""^00-""), 0, IF(AND(NE(F7, """"), NE(G7, """")), 1, 0))"),1.0)</f>
        <v>1</v>
      </c>
      <c r="R7" s="6">
        <f t="shared" si="1"/>
        <v>1</v>
      </c>
    </row>
    <row r="8">
      <c r="A8" s="1" t="s">
        <v>8</v>
      </c>
      <c r="B8" s="1" t="s">
        <v>186</v>
      </c>
      <c r="C8" s="1">
        <v>48.0</v>
      </c>
      <c r="D8" s="1">
        <v>484.0</v>
      </c>
      <c r="E8" s="1">
        <v>532.0</v>
      </c>
      <c r="F8" s="1"/>
      <c r="G8" s="1" t="s">
        <v>187</v>
      </c>
      <c r="H8" s="1" t="s">
        <v>171</v>
      </c>
      <c r="I8" s="1" t="s">
        <v>172</v>
      </c>
      <c r="J8" s="1" t="s">
        <v>183</v>
      </c>
      <c r="K8" s="1" t="s">
        <v>184</v>
      </c>
      <c r="L8" s="1"/>
      <c r="M8" s="1" t="s">
        <v>171</v>
      </c>
      <c r="N8" s="6">
        <f>IFERROR(__xludf.DUMMYFUNCTION("IF(REGEXMATCH(A8, ""^00-""), 0, IF(AND(EQ(F8, """"), EQ(G8, """")), 1, 0))"),0.0)</f>
        <v>0</v>
      </c>
      <c r="O8" s="6">
        <f>IFERROR(__xludf.DUMMYFUNCTION("IF(REGEXMATCH(A8, ""^00-""), 0, IF(AND(NE(F8, """"), EQ(G8, """")), 1, 0))"),0.0)</f>
        <v>0</v>
      </c>
      <c r="P8" s="6">
        <f>IFERROR(__xludf.DUMMYFUNCTION("IF(REGEXMATCH(A8, ""^00-""), 0, IF(AND(EQ(F8, """"), NE(G8, """")), 1, 0))"),1.0)</f>
        <v>1</v>
      </c>
      <c r="Q8" s="6">
        <f>IFERROR(__xludf.DUMMYFUNCTION("IF(REGEXMATCH(A8, ""^00-""), 0, IF(AND(NE(F8, """"), NE(G8, """")), 1, 0))"),0.0)</f>
        <v>0</v>
      </c>
      <c r="R8" s="6">
        <f t="shared" si="1"/>
        <v>1</v>
      </c>
    </row>
    <row r="9">
      <c r="A9" s="1" t="s">
        <v>8</v>
      </c>
      <c r="B9" s="1" t="s">
        <v>188</v>
      </c>
      <c r="C9" s="1">
        <v>95.0</v>
      </c>
      <c r="D9" s="1">
        <v>437.0</v>
      </c>
      <c r="E9" s="1">
        <v>532.0</v>
      </c>
      <c r="F9" s="1"/>
      <c r="G9" s="1" t="s">
        <v>189</v>
      </c>
      <c r="H9" s="1" t="s">
        <v>190</v>
      </c>
      <c r="I9" s="1" t="s">
        <v>172</v>
      </c>
      <c r="J9" s="1" t="s">
        <v>183</v>
      </c>
      <c r="K9" s="1" t="s">
        <v>184</v>
      </c>
      <c r="L9" s="1"/>
      <c r="M9" s="1" t="s">
        <v>191</v>
      </c>
      <c r="N9" s="6">
        <f>IFERROR(__xludf.DUMMYFUNCTION("IF(REGEXMATCH(A9, ""^00-""), 0, IF(AND(EQ(F9, """"), EQ(G9, """")), 1, 0))"),0.0)</f>
        <v>0</v>
      </c>
      <c r="O9" s="6">
        <f>IFERROR(__xludf.DUMMYFUNCTION("IF(REGEXMATCH(A9, ""^00-""), 0, IF(AND(NE(F9, """"), EQ(G9, """")), 1, 0))"),0.0)</f>
        <v>0</v>
      </c>
      <c r="P9" s="6">
        <f>IFERROR(__xludf.DUMMYFUNCTION("IF(REGEXMATCH(A9, ""^00-""), 0, IF(AND(EQ(F9, """"), NE(G9, """")), 1, 0))"),1.0)</f>
        <v>1</v>
      </c>
      <c r="Q9" s="6">
        <f>IFERROR(__xludf.DUMMYFUNCTION("IF(REGEXMATCH(A9, ""^00-""), 0, IF(AND(NE(F9, """"), NE(G9, """")), 1, 0))"),0.0)</f>
        <v>0</v>
      </c>
      <c r="R9" s="6">
        <f t="shared" si="1"/>
        <v>1</v>
      </c>
    </row>
    <row r="10">
      <c r="A10" s="1" t="s">
        <v>8</v>
      </c>
      <c r="B10" s="1" t="s">
        <v>192</v>
      </c>
      <c r="C10" s="1">
        <v>269.0</v>
      </c>
      <c r="D10" s="1">
        <v>263.0</v>
      </c>
      <c r="E10" s="1">
        <v>532.0</v>
      </c>
      <c r="F10" s="1"/>
      <c r="G10" s="1" t="s">
        <v>193</v>
      </c>
      <c r="H10" s="1" t="s">
        <v>190</v>
      </c>
      <c r="I10" s="1" t="s">
        <v>172</v>
      </c>
      <c r="J10" s="1" t="s">
        <v>183</v>
      </c>
      <c r="K10" s="1" t="s">
        <v>184</v>
      </c>
      <c r="L10" s="1"/>
      <c r="M10" s="1" t="s">
        <v>191</v>
      </c>
      <c r="N10" s="6">
        <f>IFERROR(__xludf.DUMMYFUNCTION("IF(REGEXMATCH(A10, ""^00-""), 0, IF(AND(EQ(F10, """"), EQ(G10, """")), 1, 0))"),0.0)</f>
        <v>0</v>
      </c>
      <c r="O10" s="6">
        <f>IFERROR(__xludf.DUMMYFUNCTION("IF(REGEXMATCH(A10, ""^00-""), 0, IF(AND(NE(F10, """"), EQ(G10, """")), 1, 0))"),0.0)</f>
        <v>0</v>
      </c>
      <c r="P10" s="6">
        <f>IFERROR(__xludf.DUMMYFUNCTION("IF(REGEXMATCH(A10, ""^00-""), 0, IF(AND(EQ(F10, """"), NE(G10, """")), 1, 0))"),1.0)</f>
        <v>1</v>
      </c>
      <c r="Q10" s="6">
        <f>IFERROR(__xludf.DUMMYFUNCTION("IF(REGEXMATCH(A10, ""^00-""), 0, IF(AND(NE(F10, """"), NE(G10, """")), 1, 0))"),0.0)</f>
        <v>0</v>
      </c>
      <c r="R10" s="6">
        <f t="shared" si="1"/>
        <v>1</v>
      </c>
    </row>
    <row r="11">
      <c r="A11" s="1" t="s">
        <v>8</v>
      </c>
      <c r="B11" s="1" t="s">
        <v>194</v>
      </c>
      <c r="C11" s="1">
        <v>168.0</v>
      </c>
      <c r="D11" s="1">
        <v>364.0</v>
      </c>
      <c r="E11" s="1">
        <v>532.0</v>
      </c>
      <c r="F11" s="1" t="s">
        <v>195</v>
      </c>
      <c r="G11" s="1"/>
      <c r="H11" s="1" t="s">
        <v>190</v>
      </c>
      <c r="I11" s="1" t="s">
        <v>172</v>
      </c>
      <c r="J11" s="1" t="s">
        <v>183</v>
      </c>
      <c r="K11" s="1" t="s">
        <v>184</v>
      </c>
      <c r="L11" s="1"/>
      <c r="M11" s="1" t="s">
        <v>191</v>
      </c>
      <c r="N11" s="6">
        <f>IFERROR(__xludf.DUMMYFUNCTION("IF(REGEXMATCH(A11, ""^00-""), 0, IF(AND(EQ(F11, """"), EQ(G11, """")), 1, 0))"),0.0)</f>
        <v>0</v>
      </c>
      <c r="O11" s="6">
        <f>IFERROR(__xludf.DUMMYFUNCTION("IF(REGEXMATCH(A11, ""^00-""), 0, IF(AND(NE(F11, """"), EQ(G11, """")), 1, 0))"),1.0)</f>
        <v>1</v>
      </c>
      <c r="P11" s="6">
        <f>IFERROR(__xludf.DUMMYFUNCTION("IF(REGEXMATCH(A11, ""^00-""), 0, IF(AND(EQ(F11, """"), NE(G11, """")), 1, 0))"),0.0)</f>
        <v>0</v>
      </c>
      <c r="Q11" s="6">
        <f>IFERROR(__xludf.DUMMYFUNCTION("IF(REGEXMATCH(A11, ""^00-""), 0, IF(AND(NE(F11, """"), NE(G11, """")), 1, 0))"),0.0)</f>
        <v>0</v>
      </c>
      <c r="R11" s="6">
        <f t="shared" si="1"/>
        <v>1</v>
      </c>
    </row>
    <row r="12">
      <c r="A12" s="1" t="s">
        <v>8</v>
      </c>
      <c r="B12" s="1" t="s">
        <v>196</v>
      </c>
      <c r="C12" s="1">
        <v>364.0</v>
      </c>
      <c r="D12" s="1">
        <v>168.0</v>
      </c>
      <c r="E12" s="1">
        <v>532.0</v>
      </c>
      <c r="F12" s="1" t="s">
        <v>197</v>
      </c>
      <c r="G12" s="1" t="s">
        <v>198</v>
      </c>
      <c r="H12" s="1" t="s">
        <v>190</v>
      </c>
      <c r="I12" s="1" t="s">
        <v>172</v>
      </c>
      <c r="J12" s="1" t="s">
        <v>183</v>
      </c>
      <c r="K12" s="1" t="s">
        <v>184</v>
      </c>
      <c r="L12" s="1"/>
      <c r="M12" s="1" t="s">
        <v>191</v>
      </c>
      <c r="N12" s="6">
        <f>IFERROR(__xludf.DUMMYFUNCTION("IF(REGEXMATCH(A12, ""^00-""), 0, IF(AND(EQ(F12, """"), EQ(G12, """")), 1, 0))"),0.0)</f>
        <v>0</v>
      </c>
      <c r="O12" s="6">
        <f>IFERROR(__xludf.DUMMYFUNCTION("IF(REGEXMATCH(A12, ""^00-""), 0, IF(AND(NE(F12, """"), EQ(G12, """")), 1, 0))"),0.0)</f>
        <v>0</v>
      </c>
      <c r="P12" s="6">
        <f>IFERROR(__xludf.DUMMYFUNCTION("IF(REGEXMATCH(A12, ""^00-""), 0, IF(AND(EQ(F12, """"), NE(G12, """")), 1, 0))"),0.0)</f>
        <v>0</v>
      </c>
      <c r="Q12" s="6">
        <f>IFERROR(__xludf.DUMMYFUNCTION("IF(REGEXMATCH(A12, ""^00-""), 0, IF(AND(NE(F12, """"), NE(G12, """")), 1, 0))"),1.0)</f>
        <v>1</v>
      </c>
      <c r="R12" s="6">
        <f t="shared" si="1"/>
        <v>1</v>
      </c>
    </row>
    <row r="13">
      <c r="A13" s="1" t="s">
        <v>8</v>
      </c>
      <c r="B13" s="1" t="s">
        <v>199</v>
      </c>
      <c r="C13" s="1">
        <v>532.0</v>
      </c>
      <c r="D13" s="1">
        <v>0.0</v>
      </c>
      <c r="E13" s="1">
        <v>532.0</v>
      </c>
      <c r="F13" s="1" t="s">
        <v>200</v>
      </c>
      <c r="G13" s="1" t="s">
        <v>201</v>
      </c>
      <c r="H13" s="1" t="s">
        <v>190</v>
      </c>
      <c r="I13" s="1" t="s">
        <v>172</v>
      </c>
      <c r="J13" s="1" t="s">
        <v>183</v>
      </c>
      <c r="K13" s="1" t="s">
        <v>184</v>
      </c>
      <c r="L13" s="1"/>
      <c r="M13" s="1" t="s">
        <v>191</v>
      </c>
      <c r="N13" s="6">
        <f>IFERROR(__xludf.DUMMYFUNCTION("IF(REGEXMATCH(A13, ""^00-""), 0, IF(AND(EQ(F13, """"), EQ(G13, """")), 1, 0))"),0.0)</f>
        <v>0</v>
      </c>
      <c r="O13" s="6">
        <f>IFERROR(__xludf.DUMMYFUNCTION("IF(REGEXMATCH(A13, ""^00-""), 0, IF(AND(NE(F13, """"), EQ(G13, """")), 1, 0))"),0.0)</f>
        <v>0</v>
      </c>
      <c r="P13" s="6">
        <f>IFERROR(__xludf.DUMMYFUNCTION("IF(REGEXMATCH(A13, ""^00-""), 0, IF(AND(EQ(F13, """"), NE(G13, """")), 1, 0))"),0.0)</f>
        <v>0</v>
      </c>
      <c r="Q13" s="6">
        <f>IFERROR(__xludf.DUMMYFUNCTION("IF(REGEXMATCH(A13, ""^00-""), 0, IF(AND(NE(F13, """"), NE(G13, """")), 1, 0))"),1.0)</f>
        <v>1</v>
      </c>
      <c r="R13" s="6">
        <f t="shared" si="1"/>
        <v>1</v>
      </c>
    </row>
    <row r="14">
      <c r="A14" s="1" t="s">
        <v>8</v>
      </c>
      <c r="B14" s="1" t="s">
        <v>202</v>
      </c>
      <c r="C14" s="1">
        <v>532.0</v>
      </c>
      <c r="D14" s="1">
        <v>0.0</v>
      </c>
      <c r="E14" s="1">
        <v>532.0</v>
      </c>
      <c r="F14" s="1" t="s">
        <v>203</v>
      </c>
      <c r="G14" s="1" t="s">
        <v>204</v>
      </c>
      <c r="H14" s="1" t="s">
        <v>190</v>
      </c>
      <c r="I14" s="1" t="s">
        <v>172</v>
      </c>
      <c r="J14" s="1" t="s">
        <v>183</v>
      </c>
      <c r="K14" s="1" t="s">
        <v>184</v>
      </c>
      <c r="L14" s="1"/>
      <c r="M14" s="1" t="s">
        <v>191</v>
      </c>
      <c r="N14" s="6">
        <f>IFERROR(__xludf.DUMMYFUNCTION("IF(REGEXMATCH(A14, ""^00-""), 0, IF(AND(EQ(F14, """"), EQ(G14, """")), 1, 0))"),0.0)</f>
        <v>0</v>
      </c>
      <c r="O14" s="6">
        <f>IFERROR(__xludf.DUMMYFUNCTION("IF(REGEXMATCH(A14, ""^00-""), 0, IF(AND(NE(F14, """"), EQ(G14, """")), 1, 0))"),0.0)</f>
        <v>0</v>
      </c>
      <c r="P14" s="6">
        <f>IFERROR(__xludf.DUMMYFUNCTION("IF(REGEXMATCH(A14, ""^00-""), 0, IF(AND(EQ(F14, """"), NE(G14, """")), 1, 0))"),0.0)</f>
        <v>0</v>
      </c>
      <c r="Q14" s="6">
        <f>IFERROR(__xludf.DUMMYFUNCTION("IF(REGEXMATCH(A14, ""^00-""), 0, IF(AND(NE(F14, """"), NE(G14, """")), 1, 0))"),1.0)</f>
        <v>1</v>
      </c>
      <c r="R14" s="6">
        <f t="shared" si="1"/>
        <v>1</v>
      </c>
    </row>
    <row r="15">
      <c r="A15" s="1" t="s">
        <v>8</v>
      </c>
      <c r="B15" s="1" t="s">
        <v>205</v>
      </c>
      <c r="C15" s="1">
        <v>532.0</v>
      </c>
      <c r="D15" s="1">
        <v>0.0</v>
      </c>
      <c r="E15" s="1">
        <v>532.0</v>
      </c>
      <c r="F15" s="1" t="s">
        <v>206</v>
      </c>
      <c r="G15" s="1" t="s">
        <v>207</v>
      </c>
      <c r="H15" s="1" t="s">
        <v>190</v>
      </c>
      <c r="I15" s="1" t="s">
        <v>172</v>
      </c>
      <c r="J15" s="1" t="s">
        <v>183</v>
      </c>
      <c r="K15" s="1" t="s">
        <v>184</v>
      </c>
      <c r="L15" s="1"/>
      <c r="M15" s="1" t="s">
        <v>191</v>
      </c>
      <c r="N15" s="6">
        <f>IFERROR(__xludf.DUMMYFUNCTION("IF(REGEXMATCH(A15, ""^00-""), 0, IF(AND(EQ(F15, """"), EQ(G15, """")), 1, 0))"),0.0)</f>
        <v>0</v>
      </c>
      <c r="O15" s="6">
        <f>IFERROR(__xludf.DUMMYFUNCTION("IF(REGEXMATCH(A15, ""^00-""), 0, IF(AND(NE(F15, """"), EQ(G15, """")), 1, 0))"),0.0)</f>
        <v>0</v>
      </c>
      <c r="P15" s="6">
        <f>IFERROR(__xludf.DUMMYFUNCTION("IF(REGEXMATCH(A15, ""^00-""), 0, IF(AND(EQ(F15, """"), NE(G15, """")), 1, 0))"),0.0)</f>
        <v>0</v>
      </c>
      <c r="Q15" s="6">
        <f>IFERROR(__xludf.DUMMYFUNCTION("IF(REGEXMATCH(A15, ""^00-""), 0, IF(AND(NE(F15, """"), NE(G15, """")), 1, 0))"),1.0)</f>
        <v>1</v>
      </c>
      <c r="R15" s="6">
        <f t="shared" si="1"/>
        <v>1</v>
      </c>
    </row>
    <row r="16">
      <c r="A16" s="1" t="s">
        <v>8</v>
      </c>
      <c r="B16" s="1" t="s">
        <v>208</v>
      </c>
      <c r="C16" s="1">
        <v>532.0</v>
      </c>
      <c r="D16" s="1">
        <v>0.0</v>
      </c>
      <c r="E16" s="1">
        <v>532.0</v>
      </c>
      <c r="F16" s="1" t="s">
        <v>209</v>
      </c>
      <c r="G16" s="1" t="s">
        <v>210</v>
      </c>
      <c r="H16" s="1" t="s">
        <v>190</v>
      </c>
      <c r="I16" s="1" t="s">
        <v>172</v>
      </c>
      <c r="J16" s="1" t="s">
        <v>183</v>
      </c>
      <c r="K16" s="1" t="s">
        <v>184</v>
      </c>
      <c r="L16" s="1"/>
      <c r="M16" s="1" t="s">
        <v>191</v>
      </c>
      <c r="N16" s="6">
        <f>IFERROR(__xludf.DUMMYFUNCTION("IF(REGEXMATCH(A16, ""^00-""), 0, IF(AND(EQ(F16, """"), EQ(G16, """")), 1, 0))"),0.0)</f>
        <v>0</v>
      </c>
      <c r="O16" s="6">
        <f>IFERROR(__xludf.DUMMYFUNCTION("IF(REGEXMATCH(A16, ""^00-""), 0, IF(AND(NE(F16, """"), EQ(G16, """")), 1, 0))"),0.0)</f>
        <v>0</v>
      </c>
      <c r="P16" s="6">
        <f>IFERROR(__xludf.DUMMYFUNCTION("IF(REGEXMATCH(A16, ""^00-""), 0, IF(AND(EQ(F16, """"), NE(G16, """")), 1, 0))"),0.0)</f>
        <v>0</v>
      </c>
      <c r="Q16" s="6">
        <f>IFERROR(__xludf.DUMMYFUNCTION("IF(REGEXMATCH(A16, ""^00-""), 0, IF(AND(NE(F16, """"), NE(G16, """")), 1, 0))"),1.0)</f>
        <v>1</v>
      </c>
      <c r="R16" s="6">
        <f t="shared" si="1"/>
        <v>1</v>
      </c>
    </row>
    <row r="17">
      <c r="A17" s="1" t="s">
        <v>8</v>
      </c>
      <c r="B17" s="1" t="s">
        <v>211</v>
      </c>
      <c r="C17" s="1">
        <v>504.0</v>
      </c>
      <c r="D17" s="1">
        <v>28.0</v>
      </c>
      <c r="E17" s="1">
        <v>532.0</v>
      </c>
      <c r="F17" s="1" t="s">
        <v>212</v>
      </c>
      <c r="G17" s="1" t="s">
        <v>213</v>
      </c>
      <c r="H17" s="1" t="s">
        <v>190</v>
      </c>
      <c r="I17" s="1" t="s">
        <v>172</v>
      </c>
      <c r="J17" s="1" t="s">
        <v>183</v>
      </c>
      <c r="K17" s="1" t="s">
        <v>184</v>
      </c>
      <c r="L17" s="1"/>
      <c r="M17" s="1" t="s">
        <v>191</v>
      </c>
      <c r="N17" s="6">
        <f>IFERROR(__xludf.DUMMYFUNCTION("IF(REGEXMATCH(A17, ""^00-""), 0, IF(AND(EQ(F17, """"), EQ(G17, """")), 1, 0))"),0.0)</f>
        <v>0</v>
      </c>
      <c r="O17" s="6">
        <f>IFERROR(__xludf.DUMMYFUNCTION("IF(REGEXMATCH(A17, ""^00-""), 0, IF(AND(NE(F17, """"), EQ(G17, """")), 1, 0))"),0.0)</f>
        <v>0</v>
      </c>
      <c r="P17" s="6">
        <f>IFERROR(__xludf.DUMMYFUNCTION("IF(REGEXMATCH(A17, ""^00-""), 0, IF(AND(EQ(F17, """"), NE(G17, """")), 1, 0))"),0.0)</f>
        <v>0</v>
      </c>
      <c r="Q17" s="6">
        <f>IFERROR(__xludf.DUMMYFUNCTION("IF(REGEXMATCH(A17, ""^00-""), 0, IF(AND(NE(F17, """"), NE(G17, """")), 1, 0))"),1.0)</f>
        <v>1</v>
      </c>
      <c r="R17" s="6">
        <f t="shared" si="1"/>
        <v>1</v>
      </c>
    </row>
    <row r="18">
      <c r="A18" s="1" t="s">
        <v>8</v>
      </c>
      <c r="B18" s="1" t="s">
        <v>214</v>
      </c>
      <c r="C18" s="1">
        <v>168.0</v>
      </c>
      <c r="D18" s="1">
        <v>364.0</v>
      </c>
      <c r="E18" s="1">
        <v>532.0</v>
      </c>
      <c r="F18" s="1" t="s">
        <v>215</v>
      </c>
      <c r="G18" s="1"/>
      <c r="H18" s="1" t="s">
        <v>190</v>
      </c>
      <c r="I18" s="1" t="s">
        <v>172</v>
      </c>
      <c r="J18" s="1" t="s">
        <v>183</v>
      </c>
      <c r="K18" s="1" t="s">
        <v>184</v>
      </c>
      <c r="L18" s="1"/>
      <c r="M18" s="1" t="s">
        <v>191</v>
      </c>
      <c r="N18" s="6">
        <f>IFERROR(__xludf.DUMMYFUNCTION("IF(REGEXMATCH(A18, ""^00-""), 0, IF(AND(EQ(F18, """"), EQ(G18, """")), 1, 0))"),0.0)</f>
        <v>0</v>
      </c>
      <c r="O18" s="6">
        <f>IFERROR(__xludf.DUMMYFUNCTION("IF(REGEXMATCH(A18, ""^00-""), 0, IF(AND(NE(F18, """"), EQ(G18, """")), 1, 0))"),1.0)</f>
        <v>1</v>
      </c>
      <c r="P18" s="6">
        <f>IFERROR(__xludf.DUMMYFUNCTION("IF(REGEXMATCH(A18, ""^00-""), 0, IF(AND(EQ(F18, """"), NE(G18, """")), 1, 0))"),0.0)</f>
        <v>0</v>
      </c>
      <c r="Q18" s="6">
        <f>IFERROR(__xludf.DUMMYFUNCTION("IF(REGEXMATCH(A18, ""^00-""), 0, IF(AND(NE(F18, """"), NE(G18, """")), 1, 0))"),0.0)</f>
        <v>0</v>
      </c>
      <c r="R18" s="6">
        <f t="shared" si="1"/>
        <v>1</v>
      </c>
    </row>
    <row r="19">
      <c r="A19" s="1" t="s">
        <v>8</v>
      </c>
      <c r="B19" s="1" t="s">
        <v>216</v>
      </c>
      <c r="C19" s="1">
        <v>162.0</v>
      </c>
      <c r="D19" s="1">
        <v>370.0</v>
      </c>
      <c r="E19" s="1">
        <v>532.0</v>
      </c>
      <c r="F19" s="1" t="s">
        <v>217</v>
      </c>
      <c r="G19" s="1"/>
      <c r="H19" s="1" t="s">
        <v>190</v>
      </c>
      <c r="I19" s="1" t="s">
        <v>172</v>
      </c>
      <c r="J19" s="1" t="s">
        <v>183</v>
      </c>
      <c r="K19" s="1" t="s">
        <v>184</v>
      </c>
      <c r="L19" s="1"/>
      <c r="M19" s="1" t="s">
        <v>191</v>
      </c>
      <c r="N19" s="6">
        <f>IFERROR(__xludf.DUMMYFUNCTION("IF(REGEXMATCH(A19, ""^00-""), 0, IF(AND(EQ(F19, """"), EQ(G19, """")), 1, 0))"),0.0)</f>
        <v>0</v>
      </c>
      <c r="O19" s="6">
        <f>IFERROR(__xludf.DUMMYFUNCTION("IF(REGEXMATCH(A19, ""^00-""), 0, IF(AND(NE(F19, """"), EQ(G19, """")), 1, 0))"),1.0)</f>
        <v>1</v>
      </c>
      <c r="P19" s="6">
        <f>IFERROR(__xludf.DUMMYFUNCTION("IF(REGEXMATCH(A19, ""^00-""), 0, IF(AND(EQ(F19, """"), NE(G19, """")), 1, 0))"),0.0)</f>
        <v>0</v>
      </c>
      <c r="Q19" s="6">
        <f>IFERROR(__xludf.DUMMYFUNCTION("IF(REGEXMATCH(A19, ""^00-""), 0, IF(AND(NE(F19, """"), NE(G19, """")), 1, 0))"),0.0)</f>
        <v>0</v>
      </c>
      <c r="R19" s="6">
        <f t="shared" si="1"/>
        <v>1</v>
      </c>
    </row>
    <row r="20">
      <c r="A20" s="1" t="s">
        <v>8</v>
      </c>
      <c r="B20" s="1" t="s">
        <v>218</v>
      </c>
      <c r="C20" s="1">
        <v>506.0</v>
      </c>
      <c r="D20" s="1">
        <v>26.0</v>
      </c>
      <c r="E20" s="1">
        <v>532.0</v>
      </c>
      <c r="F20" s="1" t="s">
        <v>219</v>
      </c>
      <c r="G20" s="1" t="s">
        <v>220</v>
      </c>
      <c r="H20" s="1" t="s">
        <v>190</v>
      </c>
      <c r="I20" s="1" t="s">
        <v>172</v>
      </c>
      <c r="J20" s="1" t="s">
        <v>183</v>
      </c>
      <c r="K20" s="1" t="s">
        <v>184</v>
      </c>
      <c r="L20" s="1"/>
      <c r="M20" s="1" t="s">
        <v>191</v>
      </c>
      <c r="N20" s="6">
        <f>IFERROR(__xludf.DUMMYFUNCTION("IF(REGEXMATCH(A20, ""^00-""), 0, IF(AND(EQ(F20, """"), EQ(G20, """")), 1, 0))"),0.0)</f>
        <v>0</v>
      </c>
      <c r="O20" s="6">
        <f>IFERROR(__xludf.DUMMYFUNCTION("IF(REGEXMATCH(A20, ""^00-""), 0, IF(AND(NE(F20, """"), EQ(G20, """")), 1, 0))"),0.0)</f>
        <v>0</v>
      </c>
      <c r="P20" s="6">
        <f>IFERROR(__xludf.DUMMYFUNCTION("IF(REGEXMATCH(A20, ""^00-""), 0, IF(AND(EQ(F20, """"), NE(G20, """")), 1, 0))"),0.0)</f>
        <v>0</v>
      </c>
      <c r="Q20" s="6">
        <f>IFERROR(__xludf.DUMMYFUNCTION("IF(REGEXMATCH(A20, ""^00-""), 0, IF(AND(NE(F20, """"), NE(G20, """")), 1, 0))"),1.0)</f>
        <v>1</v>
      </c>
      <c r="R20" s="6">
        <f t="shared" si="1"/>
        <v>1</v>
      </c>
    </row>
    <row r="21">
      <c r="A21" s="1" t="s">
        <v>8</v>
      </c>
      <c r="B21" s="1" t="s">
        <v>221</v>
      </c>
      <c r="C21" s="1">
        <v>481.0</v>
      </c>
      <c r="D21" s="1">
        <v>51.0</v>
      </c>
      <c r="E21" s="1">
        <v>532.0</v>
      </c>
      <c r="F21" s="1" t="s">
        <v>222</v>
      </c>
      <c r="G21" s="1" t="s">
        <v>223</v>
      </c>
      <c r="H21" s="1" t="s">
        <v>190</v>
      </c>
      <c r="I21" s="1" t="s">
        <v>172</v>
      </c>
      <c r="J21" s="1" t="s">
        <v>183</v>
      </c>
      <c r="K21" s="1" t="s">
        <v>184</v>
      </c>
      <c r="L21" s="1"/>
      <c r="M21" s="1" t="s">
        <v>191</v>
      </c>
      <c r="N21" s="6">
        <f>IFERROR(__xludf.DUMMYFUNCTION("IF(REGEXMATCH(A21, ""^00-""), 0, IF(AND(EQ(F21, """"), EQ(G21, """")), 1, 0))"),0.0)</f>
        <v>0</v>
      </c>
      <c r="O21" s="6">
        <f>IFERROR(__xludf.DUMMYFUNCTION("IF(REGEXMATCH(A21, ""^00-""), 0, IF(AND(NE(F21, """"), EQ(G21, """")), 1, 0))"),0.0)</f>
        <v>0</v>
      </c>
      <c r="P21" s="6">
        <f>IFERROR(__xludf.DUMMYFUNCTION("IF(REGEXMATCH(A21, ""^00-""), 0, IF(AND(EQ(F21, """"), NE(G21, """")), 1, 0))"),0.0)</f>
        <v>0</v>
      </c>
      <c r="Q21" s="6">
        <f>IFERROR(__xludf.DUMMYFUNCTION("IF(REGEXMATCH(A21, ""^00-""), 0, IF(AND(NE(F21, """"), NE(G21, """")), 1, 0))"),1.0)</f>
        <v>1</v>
      </c>
      <c r="R21" s="6">
        <f t="shared" si="1"/>
        <v>1</v>
      </c>
    </row>
    <row r="22">
      <c r="A22" s="1" t="s">
        <v>8</v>
      </c>
      <c r="B22" s="1" t="s">
        <v>224</v>
      </c>
      <c r="C22" s="1">
        <v>108.0</v>
      </c>
      <c r="D22" s="1">
        <v>424.0</v>
      </c>
      <c r="E22" s="1">
        <v>532.0</v>
      </c>
      <c r="F22" s="1" t="s">
        <v>225</v>
      </c>
      <c r="G22" s="1" t="s">
        <v>226</v>
      </c>
      <c r="H22" s="1" t="s">
        <v>190</v>
      </c>
      <c r="I22" s="1" t="s">
        <v>172</v>
      </c>
      <c r="J22" s="1" t="s">
        <v>183</v>
      </c>
      <c r="K22" s="1" t="s">
        <v>184</v>
      </c>
      <c r="L22" s="1"/>
      <c r="M22" s="1" t="s">
        <v>191</v>
      </c>
      <c r="N22" s="6">
        <f>IFERROR(__xludf.DUMMYFUNCTION("IF(REGEXMATCH(A22, ""^00-""), 0, IF(AND(EQ(F22, """"), EQ(G22, """")), 1, 0))"),0.0)</f>
        <v>0</v>
      </c>
      <c r="O22" s="6">
        <f>IFERROR(__xludf.DUMMYFUNCTION("IF(REGEXMATCH(A22, ""^00-""), 0, IF(AND(NE(F22, """"), EQ(G22, """")), 1, 0))"),0.0)</f>
        <v>0</v>
      </c>
      <c r="P22" s="6">
        <f>IFERROR(__xludf.DUMMYFUNCTION("IF(REGEXMATCH(A22, ""^00-""), 0, IF(AND(EQ(F22, """"), NE(G22, """")), 1, 0))"),0.0)</f>
        <v>0</v>
      </c>
      <c r="Q22" s="6">
        <f>IFERROR(__xludf.DUMMYFUNCTION("IF(REGEXMATCH(A22, ""^00-""), 0, IF(AND(NE(F22, """"), NE(G22, """")), 1, 0))"),1.0)</f>
        <v>1</v>
      </c>
      <c r="R22" s="6">
        <f t="shared" si="1"/>
        <v>1</v>
      </c>
    </row>
    <row r="23">
      <c r="A23" s="1" t="s">
        <v>8</v>
      </c>
      <c r="B23" s="1" t="s">
        <v>227</v>
      </c>
      <c r="C23" s="1">
        <v>108.0</v>
      </c>
      <c r="D23" s="1">
        <v>424.0</v>
      </c>
      <c r="E23" s="1">
        <v>532.0</v>
      </c>
      <c r="F23" s="1" t="s">
        <v>228</v>
      </c>
      <c r="G23" s="1" t="s">
        <v>229</v>
      </c>
      <c r="H23" s="1" t="s">
        <v>190</v>
      </c>
      <c r="I23" s="1" t="s">
        <v>172</v>
      </c>
      <c r="J23" s="1" t="s">
        <v>183</v>
      </c>
      <c r="K23" s="1" t="s">
        <v>184</v>
      </c>
      <c r="L23" s="1"/>
      <c r="M23" s="1" t="s">
        <v>191</v>
      </c>
      <c r="N23" s="6">
        <f>IFERROR(__xludf.DUMMYFUNCTION("IF(REGEXMATCH(A23, ""^00-""), 0, IF(AND(EQ(F23, """"), EQ(G23, """")), 1, 0))"),0.0)</f>
        <v>0</v>
      </c>
      <c r="O23" s="6">
        <f>IFERROR(__xludf.DUMMYFUNCTION("IF(REGEXMATCH(A23, ""^00-""), 0, IF(AND(NE(F23, """"), EQ(G23, """")), 1, 0))"),0.0)</f>
        <v>0</v>
      </c>
      <c r="P23" s="6">
        <f>IFERROR(__xludf.DUMMYFUNCTION("IF(REGEXMATCH(A23, ""^00-""), 0, IF(AND(EQ(F23, """"), NE(G23, """")), 1, 0))"),0.0)</f>
        <v>0</v>
      </c>
      <c r="Q23" s="6">
        <f>IFERROR(__xludf.DUMMYFUNCTION("IF(REGEXMATCH(A23, ""^00-""), 0, IF(AND(NE(F23, """"), NE(G23, """")), 1, 0))"),1.0)</f>
        <v>1</v>
      </c>
      <c r="R23" s="6">
        <f t="shared" si="1"/>
        <v>1</v>
      </c>
    </row>
    <row r="24">
      <c r="A24" s="1" t="s">
        <v>8</v>
      </c>
      <c r="B24" s="1" t="s">
        <v>230</v>
      </c>
      <c r="C24" s="1">
        <v>364.0</v>
      </c>
      <c r="D24" s="1">
        <v>168.0</v>
      </c>
      <c r="E24" s="1">
        <v>532.0</v>
      </c>
      <c r="F24" s="1"/>
      <c r="G24" s="1" t="s">
        <v>231</v>
      </c>
      <c r="H24" s="1" t="s">
        <v>190</v>
      </c>
      <c r="I24" s="1" t="s">
        <v>172</v>
      </c>
      <c r="J24" s="1" t="s">
        <v>183</v>
      </c>
      <c r="K24" s="1" t="s">
        <v>184</v>
      </c>
      <c r="L24" s="1"/>
      <c r="M24" s="1" t="s">
        <v>191</v>
      </c>
      <c r="N24" s="6">
        <f>IFERROR(__xludf.DUMMYFUNCTION("IF(REGEXMATCH(A24, ""^00-""), 0, IF(AND(EQ(F24, """"), EQ(G24, """")), 1, 0))"),0.0)</f>
        <v>0</v>
      </c>
      <c r="O24" s="6">
        <f>IFERROR(__xludf.DUMMYFUNCTION("IF(REGEXMATCH(A24, ""^00-""), 0, IF(AND(NE(F24, """"), EQ(G24, """")), 1, 0))"),0.0)</f>
        <v>0</v>
      </c>
      <c r="P24" s="6">
        <f>IFERROR(__xludf.DUMMYFUNCTION("IF(REGEXMATCH(A24, ""^00-""), 0, IF(AND(EQ(F24, """"), NE(G24, """")), 1, 0))"),1.0)</f>
        <v>1</v>
      </c>
      <c r="Q24" s="6">
        <f>IFERROR(__xludf.DUMMYFUNCTION("IF(REGEXMATCH(A24, ""^00-""), 0, IF(AND(NE(F24, """"), NE(G24, """")), 1, 0))"),0.0)</f>
        <v>0</v>
      </c>
      <c r="R24" s="6">
        <f t="shared" si="1"/>
        <v>1</v>
      </c>
    </row>
    <row r="25">
      <c r="A25" s="1" t="s">
        <v>8</v>
      </c>
      <c r="B25" s="1" t="s">
        <v>232</v>
      </c>
      <c r="C25" s="1">
        <v>532.0</v>
      </c>
      <c r="D25" s="1">
        <v>0.0</v>
      </c>
      <c r="E25" s="1">
        <v>532.0</v>
      </c>
      <c r="F25" s="1" t="s">
        <v>233</v>
      </c>
      <c r="G25" s="1" t="s">
        <v>234</v>
      </c>
      <c r="H25" s="1" t="s">
        <v>235</v>
      </c>
      <c r="I25" s="1" t="s">
        <v>172</v>
      </c>
      <c r="J25" s="1" t="s">
        <v>183</v>
      </c>
      <c r="K25" s="1" t="s">
        <v>184</v>
      </c>
      <c r="L25" s="1"/>
      <c r="M25" s="1" t="s">
        <v>232</v>
      </c>
      <c r="N25" s="6">
        <f>IFERROR(__xludf.DUMMYFUNCTION("IF(REGEXMATCH(A25, ""^00-""), 0, IF(AND(EQ(F25, """"), EQ(G25, """")), 1, 0))"),0.0)</f>
        <v>0</v>
      </c>
      <c r="O25" s="6">
        <f>IFERROR(__xludf.DUMMYFUNCTION("IF(REGEXMATCH(A25, ""^00-""), 0, IF(AND(NE(F25, """"), EQ(G25, """")), 1, 0))"),0.0)</f>
        <v>0</v>
      </c>
      <c r="P25" s="6">
        <f>IFERROR(__xludf.DUMMYFUNCTION("IF(REGEXMATCH(A25, ""^00-""), 0, IF(AND(EQ(F25, """"), NE(G25, """")), 1, 0))"),0.0)</f>
        <v>0</v>
      </c>
      <c r="Q25" s="6">
        <f>IFERROR(__xludf.DUMMYFUNCTION("IF(REGEXMATCH(A25, ""^00-""), 0, IF(AND(NE(F25, """"), NE(G25, """")), 1, 0))"),1.0)</f>
        <v>1</v>
      </c>
      <c r="R25" s="6">
        <f t="shared" si="1"/>
        <v>1</v>
      </c>
    </row>
    <row r="26">
      <c r="A26" s="1" t="s">
        <v>8</v>
      </c>
      <c r="B26" s="1" t="s">
        <v>236</v>
      </c>
      <c r="C26" s="1">
        <v>0.0</v>
      </c>
      <c r="D26" s="1">
        <v>532.0</v>
      </c>
      <c r="E26" s="1">
        <v>532.0</v>
      </c>
      <c r="F26" s="1" t="s">
        <v>237</v>
      </c>
      <c r="G26" s="1" t="s">
        <v>238</v>
      </c>
      <c r="H26" s="1" t="s">
        <v>171</v>
      </c>
      <c r="I26" s="1" t="s">
        <v>172</v>
      </c>
      <c r="J26" s="1" t="s">
        <v>183</v>
      </c>
      <c r="K26" s="1" t="s">
        <v>184</v>
      </c>
      <c r="L26" s="1"/>
      <c r="M26" s="1" t="s">
        <v>171</v>
      </c>
      <c r="N26" s="6">
        <f>IFERROR(__xludf.DUMMYFUNCTION("IF(REGEXMATCH(A26, ""^00-""), 0, IF(AND(EQ(F26, """"), EQ(G26, """")), 1, 0))"),0.0)</f>
        <v>0</v>
      </c>
      <c r="O26" s="6">
        <f>IFERROR(__xludf.DUMMYFUNCTION("IF(REGEXMATCH(A26, ""^00-""), 0, IF(AND(NE(F26, """"), EQ(G26, """")), 1, 0))"),0.0)</f>
        <v>0</v>
      </c>
      <c r="P26" s="6">
        <f>IFERROR(__xludf.DUMMYFUNCTION("IF(REGEXMATCH(A26, ""^00-""), 0, IF(AND(EQ(F26, """"), NE(G26, """")), 1, 0))"),0.0)</f>
        <v>0</v>
      </c>
      <c r="Q26" s="6">
        <f>IFERROR(__xludf.DUMMYFUNCTION("IF(REGEXMATCH(A26, ""^00-""), 0, IF(AND(NE(F26, """"), NE(G26, """")), 1, 0))"),1.0)</f>
        <v>1</v>
      </c>
      <c r="R26" s="6">
        <f t="shared" si="1"/>
        <v>1</v>
      </c>
    </row>
    <row r="27">
      <c r="A27" s="1" t="s">
        <v>8</v>
      </c>
      <c r="B27" s="1" t="s">
        <v>239</v>
      </c>
      <c r="C27" s="1">
        <v>0.0</v>
      </c>
      <c r="D27" s="1">
        <v>532.0</v>
      </c>
      <c r="E27" s="1">
        <v>532.0</v>
      </c>
      <c r="F27" s="1" t="s">
        <v>240</v>
      </c>
      <c r="G27" s="1"/>
      <c r="H27" s="1" t="s">
        <v>171</v>
      </c>
      <c r="I27" s="1" t="s">
        <v>172</v>
      </c>
      <c r="J27" s="1" t="s">
        <v>183</v>
      </c>
      <c r="K27" s="1" t="s">
        <v>184</v>
      </c>
      <c r="L27" s="1"/>
      <c r="M27" s="1" t="s">
        <v>171</v>
      </c>
      <c r="N27" s="6">
        <f>IFERROR(__xludf.DUMMYFUNCTION("IF(REGEXMATCH(A27, ""^00-""), 0, IF(AND(EQ(F27, """"), EQ(G27, """")), 1, 0))"),0.0)</f>
        <v>0</v>
      </c>
      <c r="O27" s="6">
        <f>IFERROR(__xludf.DUMMYFUNCTION("IF(REGEXMATCH(A27, ""^00-""), 0, IF(AND(NE(F27, """"), EQ(G27, """")), 1, 0))"),1.0)</f>
        <v>1</v>
      </c>
      <c r="P27" s="6">
        <f>IFERROR(__xludf.DUMMYFUNCTION("IF(REGEXMATCH(A27, ""^00-""), 0, IF(AND(EQ(F27, """"), NE(G27, """")), 1, 0))"),0.0)</f>
        <v>0</v>
      </c>
      <c r="Q27" s="6">
        <f>IFERROR(__xludf.DUMMYFUNCTION("IF(REGEXMATCH(A27, ""^00-""), 0, IF(AND(NE(F27, """"), NE(G27, """")), 1, 0))"),0.0)</f>
        <v>0</v>
      </c>
      <c r="R27" s="6">
        <f t="shared" si="1"/>
        <v>1</v>
      </c>
    </row>
    <row r="28">
      <c r="A28" s="1" t="s">
        <v>8</v>
      </c>
      <c r="B28" s="1" t="s">
        <v>241</v>
      </c>
      <c r="C28" s="1">
        <v>364.0</v>
      </c>
      <c r="D28" s="1">
        <v>168.0</v>
      </c>
      <c r="E28" s="1">
        <v>532.0</v>
      </c>
      <c r="F28" s="1"/>
      <c r="G28" s="1" t="s">
        <v>242</v>
      </c>
      <c r="H28" s="1" t="s">
        <v>190</v>
      </c>
      <c r="I28" s="1" t="s">
        <v>172</v>
      </c>
      <c r="J28" s="1" t="s">
        <v>183</v>
      </c>
      <c r="K28" s="1" t="s">
        <v>184</v>
      </c>
      <c r="L28" s="1"/>
      <c r="M28" s="1" t="s">
        <v>191</v>
      </c>
      <c r="N28" s="6">
        <f>IFERROR(__xludf.DUMMYFUNCTION("IF(REGEXMATCH(A28, ""^00-""), 0, IF(AND(EQ(F28, """"), EQ(G28, """")), 1, 0))"),0.0)</f>
        <v>0</v>
      </c>
      <c r="O28" s="6">
        <f>IFERROR(__xludf.DUMMYFUNCTION("IF(REGEXMATCH(A28, ""^00-""), 0, IF(AND(NE(F28, """"), EQ(G28, """")), 1, 0))"),0.0)</f>
        <v>0</v>
      </c>
      <c r="P28" s="6">
        <f>IFERROR(__xludf.DUMMYFUNCTION("IF(REGEXMATCH(A28, ""^00-""), 0, IF(AND(EQ(F28, """"), NE(G28, """")), 1, 0))"),1.0)</f>
        <v>1</v>
      </c>
      <c r="Q28" s="6">
        <f>IFERROR(__xludf.DUMMYFUNCTION("IF(REGEXMATCH(A28, ""^00-""), 0, IF(AND(NE(F28, """"), NE(G28, """")), 1, 0))"),0.0)</f>
        <v>0</v>
      </c>
      <c r="R28" s="6">
        <f t="shared" si="1"/>
        <v>1</v>
      </c>
    </row>
    <row r="29">
      <c r="A29" s="1" t="s">
        <v>8</v>
      </c>
      <c r="B29" s="1" t="s">
        <v>243</v>
      </c>
      <c r="C29" s="1">
        <v>0.0</v>
      </c>
      <c r="D29" s="1">
        <v>532.0</v>
      </c>
      <c r="E29" s="1">
        <v>532.0</v>
      </c>
      <c r="F29" s="1"/>
      <c r="G29" s="1" t="s">
        <v>244</v>
      </c>
      <c r="H29" s="1" t="s">
        <v>171</v>
      </c>
      <c r="I29" s="1" t="s">
        <v>172</v>
      </c>
      <c r="J29" s="1" t="s">
        <v>183</v>
      </c>
      <c r="K29" s="1" t="s">
        <v>184</v>
      </c>
      <c r="L29" s="1"/>
      <c r="M29" s="1" t="s">
        <v>171</v>
      </c>
      <c r="N29" s="6">
        <f>IFERROR(__xludf.DUMMYFUNCTION("IF(REGEXMATCH(A29, ""^00-""), 0, IF(AND(EQ(F29, """"), EQ(G29, """")), 1, 0))"),0.0)</f>
        <v>0</v>
      </c>
      <c r="O29" s="6">
        <f>IFERROR(__xludf.DUMMYFUNCTION("IF(REGEXMATCH(A29, ""^00-""), 0, IF(AND(NE(F29, """"), EQ(G29, """")), 1, 0))"),0.0)</f>
        <v>0</v>
      </c>
      <c r="P29" s="6">
        <f>IFERROR(__xludf.DUMMYFUNCTION("IF(REGEXMATCH(A29, ""^00-""), 0, IF(AND(EQ(F29, """"), NE(G29, """")), 1, 0))"),1.0)</f>
        <v>1</v>
      </c>
      <c r="Q29" s="6">
        <f>IFERROR(__xludf.DUMMYFUNCTION("IF(REGEXMATCH(A29, ""^00-""), 0, IF(AND(NE(F29, """"), NE(G29, """")), 1, 0))"),0.0)</f>
        <v>0</v>
      </c>
      <c r="R29" s="6">
        <f t="shared" si="1"/>
        <v>1</v>
      </c>
    </row>
    <row r="30">
      <c r="A30" s="1" t="s">
        <v>8</v>
      </c>
      <c r="B30" s="1" t="s">
        <v>245</v>
      </c>
      <c r="C30" s="1">
        <v>0.0</v>
      </c>
      <c r="D30" s="1">
        <v>532.0</v>
      </c>
      <c r="E30" s="1">
        <v>532.0</v>
      </c>
      <c r="F30" s="1"/>
      <c r="G30" s="1" t="s">
        <v>246</v>
      </c>
      <c r="H30" s="1" t="s">
        <v>171</v>
      </c>
      <c r="I30" s="1" t="s">
        <v>172</v>
      </c>
      <c r="J30" s="1" t="s">
        <v>183</v>
      </c>
      <c r="K30" s="1" t="s">
        <v>184</v>
      </c>
      <c r="L30" s="1"/>
      <c r="M30" s="1" t="s">
        <v>171</v>
      </c>
      <c r="N30" s="6">
        <f>IFERROR(__xludf.DUMMYFUNCTION("IF(REGEXMATCH(A30, ""^00-""), 0, IF(AND(EQ(F30, """"), EQ(G30, """")), 1, 0))"),0.0)</f>
        <v>0</v>
      </c>
      <c r="O30" s="6">
        <f>IFERROR(__xludf.DUMMYFUNCTION("IF(REGEXMATCH(A30, ""^00-""), 0, IF(AND(NE(F30, """"), EQ(G30, """")), 1, 0))"),0.0)</f>
        <v>0</v>
      </c>
      <c r="P30" s="6">
        <f>IFERROR(__xludf.DUMMYFUNCTION("IF(REGEXMATCH(A30, ""^00-""), 0, IF(AND(EQ(F30, """"), NE(G30, """")), 1, 0))"),1.0)</f>
        <v>1</v>
      </c>
      <c r="Q30" s="6">
        <f>IFERROR(__xludf.DUMMYFUNCTION("IF(REGEXMATCH(A30, ""^00-""), 0, IF(AND(NE(F30, """"), NE(G30, """")), 1, 0))"),0.0)</f>
        <v>0</v>
      </c>
      <c r="R30" s="6">
        <f t="shared" si="1"/>
        <v>1</v>
      </c>
    </row>
    <row r="31">
      <c r="A31" s="1" t="s">
        <v>8</v>
      </c>
      <c r="B31" s="1" t="s">
        <v>247</v>
      </c>
      <c r="C31" s="1">
        <v>532.0</v>
      </c>
      <c r="D31" s="1">
        <v>0.0</v>
      </c>
      <c r="E31" s="1">
        <v>532.0</v>
      </c>
      <c r="F31" s="1" t="s">
        <v>248</v>
      </c>
      <c r="G31" s="1" t="s">
        <v>249</v>
      </c>
      <c r="H31" s="1" t="s">
        <v>250</v>
      </c>
      <c r="I31" s="1" t="s">
        <v>172</v>
      </c>
      <c r="J31" s="1" t="s">
        <v>183</v>
      </c>
      <c r="K31" s="1" t="s">
        <v>184</v>
      </c>
      <c r="L31" s="1"/>
      <c r="M31" s="1" t="s">
        <v>250</v>
      </c>
      <c r="N31" s="6">
        <f>IFERROR(__xludf.DUMMYFUNCTION("IF(REGEXMATCH(A31, ""^00-""), 0, IF(AND(EQ(F31, """"), EQ(G31, """")), 1, 0))"),0.0)</f>
        <v>0</v>
      </c>
      <c r="O31" s="6">
        <f>IFERROR(__xludf.DUMMYFUNCTION("IF(REGEXMATCH(A31, ""^00-""), 0, IF(AND(NE(F31, """"), EQ(G31, """")), 1, 0))"),0.0)</f>
        <v>0</v>
      </c>
      <c r="P31" s="6">
        <f>IFERROR(__xludf.DUMMYFUNCTION("IF(REGEXMATCH(A31, ""^00-""), 0, IF(AND(EQ(F31, """"), NE(G31, """")), 1, 0))"),0.0)</f>
        <v>0</v>
      </c>
      <c r="Q31" s="6">
        <f>IFERROR(__xludf.DUMMYFUNCTION("IF(REGEXMATCH(A31, ""^00-""), 0, IF(AND(NE(F31, """"), NE(G31, """")), 1, 0))"),1.0)</f>
        <v>1</v>
      </c>
      <c r="R31" s="6">
        <f t="shared" si="1"/>
        <v>1</v>
      </c>
    </row>
    <row r="32">
      <c r="A32" s="1" t="s">
        <v>8</v>
      </c>
      <c r="B32" s="1" t="s">
        <v>251</v>
      </c>
      <c r="C32" s="1">
        <v>531.0</v>
      </c>
      <c r="D32" s="1">
        <v>1.0</v>
      </c>
      <c r="E32" s="1">
        <v>532.0</v>
      </c>
      <c r="F32" s="1" t="s">
        <v>252</v>
      </c>
      <c r="G32" s="1" t="s">
        <v>253</v>
      </c>
      <c r="H32" s="1" t="s">
        <v>254</v>
      </c>
      <c r="I32" s="1" t="s">
        <v>172</v>
      </c>
      <c r="J32" s="1" t="s">
        <v>183</v>
      </c>
      <c r="K32" s="1" t="s">
        <v>184</v>
      </c>
      <c r="L32" s="1"/>
      <c r="M32" s="1" t="s">
        <v>254</v>
      </c>
      <c r="N32" s="6">
        <f>IFERROR(__xludf.DUMMYFUNCTION("IF(REGEXMATCH(A32, ""^00-""), 0, IF(AND(EQ(F32, """"), EQ(G32, """")), 1, 0))"),0.0)</f>
        <v>0</v>
      </c>
      <c r="O32" s="6">
        <f>IFERROR(__xludf.DUMMYFUNCTION("IF(REGEXMATCH(A32, ""^00-""), 0, IF(AND(NE(F32, """"), EQ(G32, """")), 1, 0))"),0.0)</f>
        <v>0</v>
      </c>
      <c r="P32" s="6">
        <f>IFERROR(__xludf.DUMMYFUNCTION("IF(REGEXMATCH(A32, ""^00-""), 0, IF(AND(EQ(F32, """"), NE(G32, """")), 1, 0))"),0.0)</f>
        <v>0</v>
      </c>
      <c r="Q32" s="6">
        <f>IFERROR(__xludf.DUMMYFUNCTION("IF(REGEXMATCH(A32, ""^00-""), 0, IF(AND(NE(F32, """"), NE(G32, """")), 1, 0))"),1.0)</f>
        <v>1</v>
      </c>
      <c r="R32" s="6">
        <f t="shared" si="1"/>
        <v>1</v>
      </c>
    </row>
    <row r="33">
      <c r="A33" s="1" t="s">
        <v>8</v>
      </c>
      <c r="B33" s="1" t="s">
        <v>255</v>
      </c>
      <c r="C33" s="1">
        <v>363.0</v>
      </c>
      <c r="D33" s="1">
        <v>169.0</v>
      </c>
      <c r="E33" s="1">
        <v>532.0</v>
      </c>
      <c r="F33" s="1"/>
      <c r="G33" s="1" t="s">
        <v>256</v>
      </c>
      <c r="H33" s="1" t="s">
        <v>182</v>
      </c>
      <c r="I33" s="1" t="s">
        <v>172</v>
      </c>
      <c r="J33" s="1" t="s">
        <v>183</v>
      </c>
      <c r="K33" s="1" t="s">
        <v>184</v>
      </c>
      <c r="L33" s="1"/>
      <c r="M33" s="1" t="s">
        <v>257</v>
      </c>
      <c r="N33" s="6">
        <f>IFERROR(__xludf.DUMMYFUNCTION("IF(REGEXMATCH(A33, ""^00-""), 0, IF(AND(EQ(F33, """"), EQ(G33, """")), 1, 0))"),0.0)</f>
        <v>0</v>
      </c>
      <c r="O33" s="6">
        <f>IFERROR(__xludf.DUMMYFUNCTION("IF(REGEXMATCH(A33, ""^00-""), 0, IF(AND(NE(F33, """"), EQ(G33, """")), 1, 0))"),0.0)</f>
        <v>0</v>
      </c>
      <c r="P33" s="6">
        <f>IFERROR(__xludf.DUMMYFUNCTION("IF(REGEXMATCH(A33, ""^00-""), 0, IF(AND(EQ(F33, """"), NE(G33, """")), 1, 0))"),1.0)</f>
        <v>1</v>
      </c>
      <c r="Q33" s="6">
        <f>IFERROR(__xludf.DUMMYFUNCTION("IF(REGEXMATCH(A33, ""^00-""), 0, IF(AND(NE(F33, """"), NE(G33, """")), 1, 0))"),0.0)</f>
        <v>0</v>
      </c>
      <c r="R33" s="6">
        <f t="shared" si="1"/>
        <v>1</v>
      </c>
    </row>
    <row r="34">
      <c r="A34" s="1" t="s">
        <v>8</v>
      </c>
      <c r="B34" s="1" t="s">
        <v>258</v>
      </c>
      <c r="C34" s="1">
        <v>532.0</v>
      </c>
      <c r="D34" s="1">
        <v>0.0</v>
      </c>
      <c r="E34" s="1">
        <v>532.0</v>
      </c>
      <c r="F34" s="1" t="s">
        <v>259</v>
      </c>
      <c r="G34" s="1" t="s">
        <v>260</v>
      </c>
      <c r="H34" s="1" t="s">
        <v>171</v>
      </c>
      <c r="I34" s="1" t="s">
        <v>172</v>
      </c>
      <c r="J34" s="1" t="s">
        <v>183</v>
      </c>
      <c r="K34" s="1" t="s">
        <v>184</v>
      </c>
      <c r="L34" s="1"/>
      <c r="M34" s="1" t="s">
        <v>171</v>
      </c>
      <c r="N34" s="6">
        <f>IFERROR(__xludf.DUMMYFUNCTION("IF(REGEXMATCH(A34, ""^00-""), 0, IF(AND(EQ(F34, """"), EQ(G34, """")), 1, 0))"),0.0)</f>
        <v>0</v>
      </c>
      <c r="O34" s="6">
        <f>IFERROR(__xludf.DUMMYFUNCTION("IF(REGEXMATCH(A34, ""^00-""), 0, IF(AND(NE(F34, """"), EQ(G34, """")), 1, 0))"),0.0)</f>
        <v>0</v>
      </c>
      <c r="P34" s="6">
        <f>IFERROR(__xludf.DUMMYFUNCTION("IF(REGEXMATCH(A34, ""^00-""), 0, IF(AND(EQ(F34, """"), NE(G34, """")), 1, 0))"),0.0)</f>
        <v>0</v>
      </c>
      <c r="Q34" s="6">
        <f>IFERROR(__xludf.DUMMYFUNCTION("IF(REGEXMATCH(A34, ""^00-""), 0, IF(AND(NE(F34, """"), NE(G34, """")), 1, 0))"),1.0)</f>
        <v>1</v>
      </c>
      <c r="R34" s="6">
        <f t="shared" si="1"/>
        <v>1</v>
      </c>
    </row>
    <row r="35">
      <c r="A35" s="1" t="s">
        <v>8</v>
      </c>
      <c r="B35" s="1" t="s">
        <v>261</v>
      </c>
      <c r="C35" s="1">
        <v>532.0</v>
      </c>
      <c r="D35" s="1">
        <v>0.0</v>
      </c>
      <c r="E35" s="1">
        <v>532.0</v>
      </c>
      <c r="F35" s="1" t="s">
        <v>262</v>
      </c>
      <c r="G35" s="1" t="s">
        <v>263</v>
      </c>
      <c r="H35" s="1" t="s">
        <v>235</v>
      </c>
      <c r="I35" s="1" t="s">
        <v>172</v>
      </c>
      <c r="J35" s="1" t="s">
        <v>183</v>
      </c>
      <c r="K35" s="1" t="s">
        <v>184</v>
      </c>
      <c r="L35" s="1"/>
      <c r="M35" s="1" t="s">
        <v>264</v>
      </c>
      <c r="N35" s="6">
        <f>IFERROR(__xludf.DUMMYFUNCTION("IF(REGEXMATCH(A35, ""^00-""), 0, IF(AND(EQ(F35, """"), EQ(G35, """")), 1, 0))"),0.0)</f>
        <v>0</v>
      </c>
      <c r="O35" s="6">
        <f>IFERROR(__xludf.DUMMYFUNCTION("IF(REGEXMATCH(A35, ""^00-""), 0, IF(AND(NE(F35, """"), EQ(G35, """")), 1, 0))"),0.0)</f>
        <v>0</v>
      </c>
      <c r="P35" s="6">
        <f>IFERROR(__xludf.DUMMYFUNCTION("IF(REGEXMATCH(A35, ""^00-""), 0, IF(AND(EQ(F35, """"), NE(G35, """")), 1, 0))"),0.0)</f>
        <v>0</v>
      </c>
      <c r="Q35" s="6">
        <f>IFERROR(__xludf.DUMMYFUNCTION("IF(REGEXMATCH(A35, ""^00-""), 0, IF(AND(NE(F35, """"), NE(G35, """")), 1, 0))"),1.0)</f>
        <v>1</v>
      </c>
      <c r="R35" s="6">
        <f t="shared" si="1"/>
        <v>1</v>
      </c>
    </row>
    <row r="36">
      <c r="A36" s="1" t="s">
        <v>8</v>
      </c>
      <c r="B36" s="1" t="s">
        <v>265</v>
      </c>
      <c r="C36" s="1">
        <v>364.0</v>
      </c>
      <c r="D36" s="1">
        <v>168.0</v>
      </c>
      <c r="E36" s="1">
        <v>532.0</v>
      </c>
      <c r="F36" s="1"/>
      <c r="G36" s="1" t="s">
        <v>266</v>
      </c>
      <c r="H36" s="1" t="s">
        <v>190</v>
      </c>
      <c r="I36" s="1" t="s">
        <v>172</v>
      </c>
      <c r="J36" s="1" t="s">
        <v>183</v>
      </c>
      <c r="K36" s="1" t="s">
        <v>184</v>
      </c>
      <c r="L36" s="1"/>
      <c r="M36" s="1" t="s">
        <v>191</v>
      </c>
      <c r="N36" s="6">
        <f>IFERROR(__xludf.DUMMYFUNCTION("IF(REGEXMATCH(A36, ""^00-""), 0, IF(AND(EQ(F36, """"), EQ(G36, """")), 1, 0))"),0.0)</f>
        <v>0</v>
      </c>
      <c r="O36" s="6">
        <f>IFERROR(__xludf.DUMMYFUNCTION("IF(REGEXMATCH(A36, ""^00-""), 0, IF(AND(NE(F36, """"), EQ(G36, """")), 1, 0))"),0.0)</f>
        <v>0</v>
      </c>
      <c r="P36" s="6">
        <f>IFERROR(__xludf.DUMMYFUNCTION("IF(REGEXMATCH(A36, ""^00-""), 0, IF(AND(EQ(F36, """"), NE(G36, """")), 1, 0))"),1.0)</f>
        <v>1</v>
      </c>
      <c r="Q36" s="6">
        <f>IFERROR(__xludf.DUMMYFUNCTION("IF(REGEXMATCH(A36, ""^00-""), 0, IF(AND(NE(F36, """"), NE(G36, """")), 1, 0))"),0.0)</f>
        <v>0</v>
      </c>
      <c r="R36" s="6">
        <f t="shared" si="1"/>
        <v>1</v>
      </c>
    </row>
    <row r="37">
      <c r="A37" s="1" t="s">
        <v>8</v>
      </c>
      <c r="B37" s="1" t="s">
        <v>267</v>
      </c>
      <c r="C37" s="1">
        <v>364.0</v>
      </c>
      <c r="D37" s="1">
        <v>168.0</v>
      </c>
      <c r="E37" s="1">
        <v>532.0</v>
      </c>
      <c r="F37" s="1"/>
      <c r="G37" s="1" t="s">
        <v>268</v>
      </c>
      <c r="H37" s="1" t="s">
        <v>269</v>
      </c>
      <c r="I37" s="1" t="s">
        <v>172</v>
      </c>
      <c r="J37" s="1" t="s">
        <v>183</v>
      </c>
      <c r="K37" s="1" t="s">
        <v>184</v>
      </c>
      <c r="L37" s="1"/>
      <c r="M37" s="1" t="s">
        <v>270</v>
      </c>
      <c r="N37" s="6">
        <f>IFERROR(__xludf.DUMMYFUNCTION("IF(REGEXMATCH(A37, ""^00-""), 0, IF(AND(EQ(F37, """"), EQ(G37, """")), 1, 0))"),0.0)</f>
        <v>0</v>
      </c>
      <c r="O37" s="6">
        <f>IFERROR(__xludf.DUMMYFUNCTION("IF(REGEXMATCH(A37, ""^00-""), 0, IF(AND(NE(F37, """"), EQ(G37, """")), 1, 0))"),0.0)</f>
        <v>0</v>
      </c>
      <c r="P37" s="6">
        <f>IFERROR(__xludf.DUMMYFUNCTION("IF(REGEXMATCH(A37, ""^00-""), 0, IF(AND(EQ(F37, """"), NE(G37, """")), 1, 0))"),1.0)</f>
        <v>1</v>
      </c>
      <c r="Q37" s="6">
        <f>IFERROR(__xludf.DUMMYFUNCTION("IF(REGEXMATCH(A37, ""^00-""), 0, IF(AND(NE(F37, """"), NE(G37, """")), 1, 0))"),0.0)</f>
        <v>0</v>
      </c>
      <c r="R37" s="6">
        <f t="shared" si="1"/>
        <v>1</v>
      </c>
    </row>
    <row r="38">
      <c r="A38" s="1" t="s">
        <v>8</v>
      </c>
      <c r="B38" s="1" t="s">
        <v>271</v>
      </c>
      <c r="C38" s="1">
        <v>364.0</v>
      </c>
      <c r="D38" s="1">
        <v>168.0</v>
      </c>
      <c r="E38" s="1">
        <v>532.0</v>
      </c>
      <c r="F38" s="1"/>
      <c r="G38" s="1" t="s">
        <v>272</v>
      </c>
      <c r="H38" s="1" t="s">
        <v>182</v>
      </c>
      <c r="I38" s="1" t="s">
        <v>172</v>
      </c>
      <c r="J38" s="1" t="s">
        <v>183</v>
      </c>
      <c r="K38" s="1" t="s">
        <v>184</v>
      </c>
      <c r="L38" s="1"/>
      <c r="M38" s="1" t="s">
        <v>185</v>
      </c>
      <c r="N38" s="6">
        <f>IFERROR(__xludf.DUMMYFUNCTION("IF(REGEXMATCH(A38, ""^00-""), 0, IF(AND(EQ(F38, """"), EQ(G38, """")), 1, 0))"),0.0)</f>
        <v>0</v>
      </c>
      <c r="O38" s="6">
        <f>IFERROR(__xludf.DUMMYFUNCTION("IF(REGEXMATCH(A38, ""^00-""), 0, IF(AND(NE(F38, """"), EQ(G38, """")), 1, 0))"),0.0)</f>
        <v>0</v>
      </c>
      <c r="P38" s="6">
        <f>IFERROR(__xludf.DUMMYFUNCTION("IF(REGEXMATCH(A38, ""^00-""), 0, IF(AND(EQ(F38, """"), NE(G38, """")), 1, 0))"),1.0)</f>
        <v>1</v>
      </c>
      <c r="Q38" s="6">
        <f>IFERROR(__xludf.DUMMYFUNCTION("IF(REGEXMATCH(A38, ""^00-""), 0, IF(AND(NE(F38, """"), NE(G38, """")), 1, 0))"),0.0)</f>
        <v>0</v>
      </c>
      <c r="R38" s="6">
        <f t="shared" si="1"/>
        <v>1</v>
      </c>
    </row>
    <row r="39">
      <c r="A39" s="1" t="s">
        <v>8</v>
      </c>
      <c r="B39" s="1" t="s">
        <v>273</v>
      </c>
      <c r="C39" s="1">
        <v>364.0</v>
      </c>
      <c r="D39" s="1">
        <v>168.0</v>
      </c>
      <c r="E39" s="1">
        <v>532.0</v>
      </c>
      <c r="F39" s="1"/>
      <c r="G39" s="1" t="s">
        <v>274</v>
      </c>
      <c r="H39" s="1" t="s">
        <v>182</v>
      </c>
      <c r="I39" s="1" t="s">
        <v>172</v>
      </c>
      <c r="J39" s="1" t="s">
        <v>183</v>
      </c>
      <c r="K39" s="1" t="s">
        <v>184</v>
      </c>
      <c r="L39" s="1"/>
      <c r="M39" s="1" t="s">
        <v>257</v>
      </c>
      <c r="N39" s="6">
        <f>IFERROR(__xludf.DUMMYFUNCTION("IF(REGEXMATCH(A39, ""^00-""), 0, IF(AND(EQ(F39, """"), EQ(G39, """")), 1, 0))"),0.0)</f>
        <v>0</v>
      </c>
      <c r="O39" s="6">
        <f>IFERROR(__xludf.DUMMYFUNCTION("IF(REGEXMATCH(A39, ""^00-""), 0, IF(AND(NE(F39, """"), EQ(G39, """")), 1, 0))"),0.0)</f>
        <v>0</v>
      </c>
      <c r="P39" s="6">
        <f>IFERROR(__xludf.DUMMYFUNCTION("IF(REGEXMATCH(A39, ""^00-""), 0, IF(AND(EQ(F39, """"), NE(G39, """")), 1, 0))"),1.0)</f>
        <v>1</v>
      </c>
      <c r="Q39" s="6">
        <f>IFERROR(__xludf.DUMMYFUNCTION("IF(REGEXMATCH(A39, ""^00-""), 0, IF(AND(NE(F39, """"), NE(G39, """")), 1, 0))"),0.0)</f>
        <v>0</v>
      </c>
      <c r="R39" s="6">
        <f t="shared" si="1"/>
        <v>1</v>
      </c>
    </row>
    <row r="40">
      <c r="A40" s="1" t="s">
        <v>8</v>
      </c>
      <c r="B40" s="1" t="s">
        <v>275</v>
      </c>
      <c r="C40" s="1">
        <v>364.0</v>
      </c>
      <c r="D40" s="1">
        <v>168.0</v>
      </c>
      <c r="E40" s="1">
        <v>532.0</v>
      </c>
      <c r="F40" s="1"/>
      <c r="G40" s="1" t="s">
        <v>276</v>
      </c>
      <c r="H40" s="1" t="s">
        <v>190</v>
      </c>
      <c r="I40" s="1" t="s">
        <v>172</v>
      </c>
      <c r="J40" s="1" t="s">
        <v>183</v>
      </c>
      <c r="K40" s="1" t="s">
        <v>184</v>
      </c>
      <c r="L40" s="1"/>
      <c r="M40" s="1" t="s">
        <v>191</v>
      </c>
      <c r="N40" s="6">
        <f>IFERROR(__xludf.DUMMYFUNCTION("IF(REGEXMATCH(A40, ""^00-""), 0, IF(AND(EQ(F40, """"), EQ(G40, """")), 1, 0))"),0.0)</f>
        <v>0</v>
      </c>
      <c r="O40" s="6">
        <f>IFERROR(__xludf.DUMMYFUNCTION("IF(REGEXMATCH(A40, ""^00-""), 0, IF(AND(NE(F40, """"), EQ(G40, """")), 1, 0))"),0.0)</f>
        <v>0</v>
      </c>
      <c r="P40" s="6">
        <f>IFERROR(__xludf.DUMMYFUNCTION("IF(REGEXMATCH(A40, ""^00-""), 0, IF(AND(EQ(F40, """"), NE(G40, """")), 1, 0))"),1.0)</f>
        <v>1</v>
      </c>
      <c r="Q40" s="6">
        <f>IFERROR(__xludf.DUMMYFUNCTION("IF(REGEXMATCH(A40, ""^00-""), 0, IF(AND(NE(F40, """"), NE(G40, """")), 1, 0))"),0.0)</f>
        <v>0</v>
      </c>
      <c r="R40" s="6">
        <f t="shared" si="1"/>
        <v>1</v>
      </c>
    </row>
    <row r="41">
      <c r="A41" s="1" t="s">
        <v>8</v>
      </c>
      <c r="B41" s="1" t="s">
        <v>277</v>
      </c>
      <c r="C41" s="1">
        <v>531.0</v>
      </c>
      <c r="D41" s="1">
        <v>1.0</v>
      </c>
      <c r="E41" s="1">
        <v>532.0</v>
      </c>
      <c r="F41" s="1" t="s">
        <v>278</v>
      </c>
      <c r="G41" s="1" t="s">
        <v>279</v>
      </c>
      <c r="H41" s="1" t="s">
        <v>190</v>
      </c>
      <c r="I41" s="1" t="s">
        <v>172</v>
      </c>
      <c r="J41" s="1" t="s">
        <v>183</v>
      </c>
      <c r="K41" s="1" t="s">
        <v>184</v>
      </c>
      <c r="L41" s="1"/>
      <c r="M41" s="1" t="s">
        <v>191</v>
      </c>
      <c r="N41" s="6">
        <f>IFERROR(__xludf.DUMMYFUNCTION("IF(REGEXMATCH(A41, ""^00-""), 0, IF(AND(EQ(F41, """"), EQ(G41, """")), 1, 0))"),0.0)</f>
        <v>0</v>
      </c>
      <c r="O41" s="6">
        <f>IFERROR(__xludf.DUMMYFUNCTION("IF(REGEXMATCH(A41, ""^00-""), 0, IF(AND(NE(F41, """"), EQ(G41, """")), 1, 0))"),0.0)</f>
        <v>0</v>
      </c>
      <c r="P41" s="6">
        <f>IFERROR(__xludf.DUMMYFUNCTION("IF(REGEXMATCH(A41, ""^00-""), 0, IF(AND(EQ(F41, """"), NE(G41, """")), 1, 0))"),0.0)</f>
        <v>0</v>
      </c>
      <c r="Q41" s="6">
        <f>IFERROR(__xludf.DUMMYFUNCTION("IF(REGEXMATCH(A41, ""^00-""), 0, IF(AND(NE(F41, """"), NE(G41, """")), 1, 0))"),1.0)</f>
        <v>1</v>
      </c>
      <c r="R41" s="6">
        <f t="shared" si="1"/>
        <v>1</v>
      </c>
    </row>
    <row r="42">
      <c r="A42" s="1" t="s">
        <v>8</v>
      </c>
      <c r="B42" s="1" t="s">
        <v>280</v>
      </c>
      <c r="C42" s="1">
        <v>10.0</v>
      </c>
      <c r="D42" s="1">
        <v>522.0</v>
      </c>
      <c r="E42" s="1">
        <v>532.0</v>
      </c>
      <c r="F42" s="1" t="s">
        <v>281</v>
      </c>
      <c r="G42" s="1" t="s">
        <v>282</v>
      </c>
      <c r="H42" s="1" t="s">
        <v>171</v>
      </c>
      <c r="I42" s="1" t="s">
        <v>172</v>
      </c>
      <c r="J42" s="1" t="s">
        <v>183</v>
      </c>
      <c r="K42" s="1" t="s">
        <v>184</v>
      </c>
      <c r="L42" s="1"/>
      <c r="M42" s="1" t="s">
        <v>171</v>
      </c>
      <c r="N42" s="6">
        <f>IFERROR(__xludf.DUMMYFUNCTION("IF(REGEXMATCH(A42, ""^00-""), 0, IF(AND(EQ(F42, """"), EQ(G42, """")), 1, 0))"),0.0)</f>
        <v>0</v>
      </c>
      <c r="O42" s="6">
        <f>IFERROR(__xludf.DUMMYFUNCTION("IF(REGEXMATCH(A42, ""^00-""), 0, IF(AND(NE(F42, """"), EQ(G42, """")), 1, 0))"),0.0)</f>
        <v>0</v>
      </c>
      <c r="P42" s="6">
        <f>IFERROR(__xludf.DUMMYFUNCTION("IF(REGEXMATCH(A42, ""^00-""), 0, IF(AND(EQ(F42, """"), NE(G42, """")), 1, 0))"),0.0)</f>
        <v>0</v>
      </c>
      <c r="Q42" s="6">
        <f>IFERROR(__xludf.DUMMYFUNCTION("IF(REGEXMATCH(A42, ""^00-""), 0, IF(AND(NE(F42, """"), NE(G42, """")), 1, 0))"),1.0)</f>
        <v>1</v>
      </c>
      <c r="R42" s="6">
        <f t="shared" si="1"/>
        <v>1</v>
      </c>
    </row>
    <row r="43">
      <c r="A43" s="1" t="s">
        <v>10</v>
      </c>
      <c r="B43" s="1" t="s">
        <v>283</v>
      </c>
      <c r="C43" s="1">
        <v>532.0</v>
      </c>
      <c r="D43" s="1">
        <v>0.0</v>
      </c>
      <c r="E43" s="1">
        <v>532.0</v>
      </c>
      <c r="F43" s="1" t="s">
        <v>284</v>
      </c>
      <c r="G43" s="1" t="s">
        <v>285</v>
      </c>
      <c r="H43" s="1" t="s">
        <v>182</v>
      </c>
      <c r="I43" s="1" t="s">
        <v>172</v>
      </c>
      <c r="J43" s="1" t="s">
        <v>286</v>
      </c>
      <c r="K43" s="1" t="s">
        <v>184</v>
      </c>
      <c r="L43" s="1"/>
      <c r="M43" s="1" t="s">
        <v>185</v>
      </c>
      <c r="N43" s="6">
        <f>IFERROR(__xludf.DUMMYFUNCTION("IF(REGEXMATCH(A43, ""^00-""), 0, IF(AND(EQ(F43, """"), EQ(G43, """")), 1, 0))"),0.0)</f>
        <v>0</v>
      </c>
      <c r="O43" s="6">
        <f>IFERROR(__xludf.DUMMYFUNCTION("IF(REGEXMATCH(A43, ""^00-""), 0, IF(AND(NE(F43, """"), EQ(G43, """")), 1, 0))"),0.0)</f>
        <v>0</v>
      </c>
      <c r="P43" s="6">
        <f>IFERROR(__xludf.DUMMYFUNCTION("IF(REGEXMATCH(A43, ""^00-""), 0, IF(AND(EQ(F43, """"), NE(G43, """")), 1, 0))"),0.0)</f>
        <v>0</v>
      </c>
      <c r="Q43" s="6">
        <f>IFERROR(__xludf.DUMMYFUNCTION("IF(REGEXMATCH(A43, ""^00-""), 0, IF(AND(NE(F43, """"), NE(G43, """")), 1, 0))"),1.0)</f>
        <v>1</v>
      </c>
      <c r="R43" s="6">
        <f t="shared" si="1"/>
        <v>1</v>
      </c>
    </row>
    <row r="44">
      <c r="A44" s="1" t="s">
        <v>10</v>
      </c>
      <c r="B44" s="1" t="s">
        <v>287</v>
      </c>
      <c r="C44" s="1">
        <v>529.0</v>
      </c>
      <c r="D44" s="1">
        <v>3.0</v>
      </c>
      <c r="E44" s="1">
        <v>532.0</v>
      </c>
      <c r="F44" s="1" t="s">
        <v>288</v>
      </c>
      <c r="G44" s="1" t="s">
        <v>289</v>
      </c>
      <c r="H44" s="1" t="s">
        <v>235</v>
      </c>
      <c r="I44" s="1" t="s">
        <v>172</v>
      </c>
      <c r="J44" s="1" t="s">
        <v>286</v>
      </c>
      <c r="K44" s="1" t="s">
        <v>184</v>
      </c>
      <c r="L44" s="1"/>
      <c r="M44" s="1" t="s">
        <v>290</v>
      </c>
      <c r="N44" s="6">
        <f>IFERROR(__xludf.DUMMYFUNCTION("IF(REGEXMATCH(A44, ""^00-""), 0, IF(AND(EQ(F44, """"), EQ(G44, """")), 1, 0))"),0.0)</f>
        <v>0</v>
      </c>
      <c r="O44" s="6">
        <f>IFERROR(__xludf.DUMMYFUNCTION("IF(REGEXMATCH(A44, ""^00-""), 0, IF(AND(NE(F44, """"), EQ(G44, """")), 1, 0))"),0.0)</f>
        <v>0</v>
      </c>
      <c r="P44" s="6">
        <f>IFERROR(__xludf.DUMMYFUNCTION("IF(REGEXMATCH(A44, ""^00-""), 0, IF(AND(EQ(F44, """"), NE(G44, """")), 1, 0))"),0.0)</f>
        <v>0</v>
      </c>
      <c r="Q44" s="6">
        <f>IFERROR(__xludf.DUMMYFUNCTION("IF(REGEXMATCH(A44, ""^00-""), 0, IF(AND(NE(F44, """"), NE(G44, """")), 1, 0))"),1.0)</f>
        <v>1</v>
      </c>
      <c r="R44" s="6">
        <f t="shared" si="1"/>
        <v>1</v>
      </c>
    </row>
    <row r="45">
      <c r="A45" s="1" t="s">
        <v>10</v>
      </c>
      <c r="B45" s="1" t="s">
        <v>291</v>
      </c>
      <c r="C45" s="1">
        <v>532.0</v>
      </c>
      <c r="D45" s="1">
        <v>0.0</v>
      </c>
      <c r="E45" s="1">
        <v>532.0</v>
      </c>
      <c r="F45" s="1" t="s">
        <v>292</v>
      </c>
      <c r="G45" s="1" t="s">
        <v>293</v>
      </c>
      <c r="H45" s="1" t="s">
        <v>235</v>
      </c>
      <c r="I45" s="1" t="s">
        <v>172</v>
      </c>
      <c r="J45" s="1" t="s">
        <v>286</v>
      </c>
      <c r="K45" s="1" t="s">
        <v>184</v>
      </c>
      <c r="L45" s="1"/>
      <c r="M45" s="1" t="s">
        <v>294</v>
      </c>
      <c r="N45" s="6">
        <f>IFERROR(__xludf.DUMMYFUNCTION("IF(REGEXMATCH(A45, ""^00-""), 0, IF(AND(EQ(F45, """"), EQ(G45, """")), 1, 0))"),0.0)</f>
        <v>0</v>
      </c>
      <c r="O45" s="6">
        <f>IFERROR(__xludf.DUMMYFUNCTION("IF(REGEXMATCH(A45, ""^00-""), 0, IF(AND(NE(F45, """"), EQ(G45, """")), 1, 0))"),0.0)</f>
        <v>0</v>
      </c>
      <c r="P45" s="6">
        <f>IFERROR(__xludf.DUMMYFUNCTION("IF(REGEXMATCH(A45, ""^00-""), 0, IF(AND(EQ(F45, """"), NE(G45, """")), 1, 0))"),0.0)</f>
        <v>0</v>
      </c>
      <c r="Q45" s="6">
        <f>IFERROR(__xludf.DUMMYFUNCTION("IF(REGEXMATCH(A45, ""^00-""), 0, IF(AND(NE(F45, """"), NE(G45, """")), 1, 0))"),1.0)</f>
        <v>1</v>
      </c>
      <c r="R45" s="6">
        <f t="shared" si="1"/>
        <v>1</v>
      </c>
    </row>
    <row r="46">
      <c r="A46" s="1" t="s">
        <v>10</v>
      </c>
      <c r="B46" s="1" t="s">
        <v>295</v>
      </c>
      <c r="C46" s="1">
        <v>532.0</v>
      </c>
      <c r="D46" s="1">
        <v>0.0</v>
      </c>
      <c r="E46" s="1">
        <v>532.0</v>
      </c>
      <c r="F46" s="1" t="s">
        <v>296</v>
      </c>
      <c r="G46" s="1" t="s">
        <v>297</v>
      </c>
      <c r="H46" s="1" t="s">
        <v>235</v>
      </c>
      <c r="I46" s="1" t="s">
        <v>172</v>
      </c>
      <c r="J46" s="1" t="s">
        <v>286</v>
      </c>
      <c r="K46" s="1" t="s">
        <v>184</v>
      </c>
      <c r="L46" s="1"/>
      <c r="M46" s="1" t="s">
        <v>298</v>
      </c>
      <c r="N46" s="6">
        <f>IFERROR(__xludf.DUMMYFUNCTION("IF(REGEXMATCH(A46, ""^00-""), 0, IF(AND(EQ(F46, """"), EQ(G46, """")), 1, 0))"),0.0)</f>
        <v>0</v>
      </c>
      <c r="O46" s="6">
        <f>IFERROR(__xludf.DUMMYFUNCTION("IF(REGEXMATCH(A46, ""^00-""), 0, IF(AND(NE(F46, """"), EQ(G46, """")), 1, 0))"),0.0)</f>
        <v>0</v>
      </c>
      <c r="P46" s="6">
        <f>IFERROR(__xludf.DUMMYFUNCTION("IF(REGEXMATCH(A46, ""^00-""), 0, IF(AND(EQ(F46, """"), NE(G46, """")), 1, 0))"),0.0)</f>
        <v>0</v>
      </c>
      <c r="Q46" s="6">
        <f>IFERROR(__xludf.DUMMYFUNCTION("IF(REGEXMATCH(A46, ""^00-""), 0, IF(AND(NE(F46, """"), NE(G46, """")), 1, 0))"),1.0)</f>
        <v>1</v>
      </c>
      <c r="R46" s="6">
        <f t="shared" si="1"/>
        <v>1</v>
      </c>
    </row>
    <row r="47">
      <c r="A47" s="1" t="s">
        <v>10</v>
      </c>
      <c r="B47" s="1" t="s">
        <v>299</v>
      </c>
      <c r="C47" s="1">
        <v>530.0</v>
      </c>
      <c r="D47" s="1">
        <v>2.0</v>
      </c>
      <c r="E47" s="1">
        <v>532.0</v>
      </c>
      <c r="F47" s="1" t="s">
        <v>300</v>
      </c>
      <c r="G47" s="1" t="s">
        <v>301</v>
      </c>
      <c r="H47" s="1" t="s">
        <v>269</v>
      </c>
      <c r="I47" s="1" t="s">
        <v>172</v>
      </c>
      <c r="J47" s="1" t="s">
        <v>286</v>
      </c>
      <c r="K47" s="1" t="s">
        <v>184</v>
      </c>
      <c r="L47" s="1"/>
      <c r="M47" s="1" t="s">
        <v>302</v>
      </c>
      <c r="N47" s="6">
        <f>IFERROR(__xludf.DUMMYFUNCTION("IF(REGEXMATCH(A47, ""^00-""), 0, IF(AND(EQ(F47, """"), EQ(G47, """")), 1, 0))"),0.0)</f>
        <v>0</v>
      </c>
      <c r="O47" s="6">
        <f>IFERROR(__xludf.DUMMYFUNCTION("IF(REGEXMATCH(A47, ""^00-""), 0, IF(AND(NE(F47, """"), EQ(G47, """")), 1, 0))"),0.0)</f>
        <v>0</v>
      </c>
      <c r="P47" s="6">
        <f>IFERROR(__xludf.DUMMYFUNCTION("IF(REGEXMATCH(A47, ""^00-""), 0, IF(AND(EQ(F47, """"), NE(G47, """")), 1, 0))"),0.0)</f>
        <v>0</v>
      </c>
      <c r="Q47" s="6">
        <f>IFERROR(__xludf.DUMMYFUNCTION("IF(REGEXMATCH(A47, ""^00-""), 0, IF(AND(NE(F47, """"), NE(G47, """")), 1, 0))"),1.0)</f>
        <v>1</v>
      </c>
      <c r="R47" s="6">
        <f t="shared" si="1"/>
        <v>1</v>
      </c>
    </row>
    <row r="48">
      <c r="A48" s="1" t="s">
        <v>10</v>
      </c>
      <c r="B48" s="1" t="s">
        <v>303</v>
      </c>
      <c r="C48" s="1">
        <v>362.0</v>
      </c>
      <c r="D48" s="1">
        <v>170.0</v>
      </c>
      <c r="E48" s="1">
        <v>532.0</v>
      </c>
      <c r="F48" s="1"/>
      <c r="G48" s="1" t="s">
        <v>304</v>
      </c>
      <c r="H48" s="1" t="s">
        <v>269</v>
      </c>
      <c r="I48" s="1" t="s">
        <v>172</v>
      </c>
      <c r="J48" s="1" t="s">
        <v>286</v>
      </c>
      <c r="K48" s="1" t="s">
        <v>184</v>
      </c>
      <c r="L48" s="1"/>
      <c r="M48" s="1" t="s">
        <v>305</v>
      </c>
      <c r="N48" s="6">
        <f>IFERROR(__xludf.DUMMYFUNCTION("IF(REGEXMATCH(A48, ""^00-""), 0, IF(AND(EQ(F48, """"), EQ(G48, """")), 1, 0))"),0.0)</f>
        <v>0</v>
      </c>
      <c r="O48" s="6">
        <f>IFERROR(__xludf.DUMMYFUNCTION("IF(REGEXMATCH(A48, ""^00-""), 0, IF(AND(NE(F48, """"), EQ(G48, """")), 1, 0))"),0.0)</f>
        <v>0</v>
      </c>
      <c r="P48" s="6">
        <f>IFERROR(__xludf.DUMMYFUNCTION("IF(REGEXMATCH(A48, ""^00-""), 0, IF(AND(EQ(F48, """"), NE(G48, """")), 1, 0))"),1.0)</f>
        <v>1</v>
      </c>
      <c r="Q48" s="6">
        <f>IFERROR(__xludf.DUMMYFUNCTION("IF(REGEXMATCH(A48, ""^00-""), 0, IF(AND(NE(F48, """"), NE(G48, """")), 1, 0))"),0.0)</f>
        <v>0</v>
      </c>
      <c r="R48" s="6">
        <f t="shared" si="1"/>
        <v>1</v>
      </c>
    </row>
    <row r="49">
      <c r="A49" s="1" t="s">
        <v>12</v>
      </c>
      <c r="B49" s="1" t="s">
        <v>306</v>
      </c>
      <c r="C49" s="1">
        <v>532.0</v>
      </c>
      <c r="D49" s="1">
        <v>0.0</v>
      </c>
      <c r="E49" s="1">
        <v>532.0</v>
      </c>
      <c r="F49" s="1" t="s">
        <v>307</v>
      </c>
      <c r="G49" s="1" t="s">
        <v>308</v>
      </c>
      <c r="H49" s="1" t="s">
        <v>182</v>
      </c>
      <c r="I49" s="1" t="s">
        <v>172</v>
      </c>
      <c r="J49" s="1" t="s">
        <v>309</v>
      </c>
      <c r="K49" s="1" t="s">
        <v>184</v>
      </c>
      <c r="L49" s="1"/>
      <c r="M49" s="1" t="s">
        <v>185</v>
      </c>
      <c r="N49" s="6">
        <f>IFERROR(__xludf.DUMMYFUNCTION("IF(REGEXMATCH(A49, ""^00-""), 0, IF(AND(EQ(F49, """"), EQ(G49, """")), 1, 0))"),0.0)</f>
        <v>0</v>
      </c>
      <c r="O49" s="6">
        <f>IFERROR(__xludf.DUMMYFUNCTION("IF(REGEXMATCH(A49, ""^00-""), 0, IF(AND(NE(F49, """"), EQ(G49, """")), 1, 0))"),0.0)</f>
        <v>0</v>
      </c>
      <c r="P49" s="6">
        <f>IFERROR(__xludf.DUMMYFUNCTION("IF(REGEXMATCH(A49, ""^00-""), 0, IF(AND(EQ(F49, """"), NE(G49, """")), 1, 0))"),0.0)</f>
        <v>0</v>
      </c>
      <c r="Q49" s="6">
        <f>IFERROR(__xludf.DUMMYFUNCTION("IF(REGEXMATCH(A49, ""^00-""), 0, IF(AND(NE(F49, """"), NE(G49, """")), 1, 0))"),1.0)</f>
        <v>1</v>
      </c>
      <c r="R49" s="6">
        <f t="shared" si="1"/>
        <v>1</v>
      </c>
    </row>
    <row r="50">
      <c r="A50" s="1" t="s">
        <v>12</v>
      </c>
      <c r="B50" s="1" t="s">
        <v>310</v>
      </c>
      <c r="C50" s="1">
        <v>532.0</v>
      </c>
      <c r="D50" s="1">
        <v>0.0</v>
      </c>
      <c r="E50" s="1">
        <v>532.0</v>
      </c>
      <c r="F50" s="1" t="s">
        <v>311</v>
      </c>
      <c r="G50" s="1" t="s">
        <v>312</v>
      </c>
      <c r="H50" s="1" t="s">
        <v>182</v>
      </c>
      <c r="I50" s="1" t="s">
        <v>172</v>
      </c>
      <c r="J50" s="1" t="s">
        <v>309</v>
      </c>
      <c r="K50" s="1" t="s">
        <v>184</v>
      </c>
      <c r="L50" s="1"/>
      <c r="M50" s="1" t="s">
        <v>185</v>
      </c>
      <c r="N50" s="6">
        <f>IFERROR(__xludf.DUMMYFUNCTION("IF(REGEXMATCH(A50, ""^00-""), 0, IF(AND(EQ(F50, """"), EQ(G50, """")), 1, 0))"),0.0)</f>
        <v>0</v>
      </c>
      <c r="O50" s="6">
        <f>IFERROR(__xludf.DUMMYFUNCTION("IF(REGEXMATCH(A50, ""^00-""), 0, IF(AND(NE(F50, """"), EQ(G50, """")), 1, 0))"),0.0)</f>
        <v>0</v>
      </c>
      <c r="P50" s="6">
        <f>IFERROR(__xludf.DUMMYFUNCTION("IF(REGEXMATCH(A50, ""^00-""), 0, IF(AND(EQ(F50, """"), NE(G50, """")), 1, 0))"),0.0)</f>
        <v>0</v>
      </c>
      <c r="Q50" s="6">
        <f>IFERROR(__xludf.DUMMYFUNCTION("IF(REGEXMATCH(A50, ""^00-""), 0, IF(AND(NE(F50, """"), NE(G50, """")), 1, 0))"),1.0)</f>
        <v>1</v>
      </c>
      <c r="R50" s="6">
        <f t="shared" si="1"/>
        <v>1</v>
      </c>
    </row>
    <row r="51">
      <c r="A51" s="1" t="s">
        <v>12</v>
      </c>
      <c r="B51" s="1" t="s">
        <v>313</v>
      </c>
      <c r="C51" s="1">
        <v>532.0</v>
      </c>
      <c r="D51" s="1">
        <v>0.0</v>
      </c>
      <c r="E51" s="1">
        <v>532.0</v>
      </c>
      <c r="F51" s="1" t="s">
        <v>314</v>
      </c>
      <c r="G51" s="1" t="s">
        <v>315</v>
      </c>
      <c r="H51" s="1" t="s">
        <v>190</v>
      </c>
      <c r="I51" s="1" t="s">
        <v>172</v>
      </c>
      <c r="J51" s="1" t="s">
        <v>309</v>
      </c>
      <c r="K51" s="1" t="s">
        <v>184</v>
      </c>
      <c r="L51" s="1"/>
      <c r="M51" s="1" t="s">
        <v>191</v>
      </c>
      <c r="N51" s="6">
        <f>IFERROR(__xludf.DUMMYFUNCTION("IF(REGEXMATCH(A51, ""^00-""), 0, IF(AND(EQ(F51, """"), EQ(G51, """")), 1, 0))"),0.0)</f>
        <v>0</v>
      </c>
      <c r="O51" s="6">
        <f>IFERROR(__xludf.DUMMYFUNCTION("IF(REGEXMATCH(A51, ""^00-""), 0, IF(AND(NE(F51, """"), EQ(G51, """")), 1, 0))"),0.0)</f>
        <v>0</v>
      </c>
      <c r="P51" s="6">
        <f>IFERROR(__xludf.DUMMYFUNCTION("IF(REGEXMATCH(A51, ""^00-""), 0, IF(AND(EQ(F51, """"), NE(G51, """")), 1, 0))"),0.0)</f>
        <v>0</v>
      </c>
      <c r="Q51" s="6">
        <f>IFERROR(__xludf.DUMMYFUNCTION("IF(REGEXMATCH(A51, ""^00-""), 0, IF(AND(NE(F51, """"), NE(G51, """")), 1, 0))"),1.0)</f>
        <v>1</v>
      </c>
      <c r="R51" s="6">
        <f t="shared" si="1"/>
        <v>1</v>
      </c>
    </row>
    <row r="52">
      <c r="A52" s="1" t="s">
        <v>12</v>
      </c>
      <c r="B52" s="1" t="s">
        <v>316</v>
      </c>
      <c r="C52" s="1">
        <v>13.0</v>
      </c>
      <c r="D52" s="1">
        <v>519.0</v>
      </c>
      <c r="E52" s="1">
        <v>532.0</v>
      </c>
      <c r="F52" s="1" t="s">
        <v>317</v>
      </c>
      <c r="G52" s="1" t="s">
        <v>318</v>
      </c>
      <c r="H52" s="1" t="s">
        <v>182</v>
      </c>
      <c r="I52" s="1" t="s">
        <v>172</v>
      </c>
      <c r="J52" s="1" t="s">
        <v>309</v>
      </c>
      <c r="K52" s="1" t="s">
        <v>184</v>
      </c>
      <c r="L52" s="1"/>
      <c r="M52" s="1" t="s">
        <v>185</v>
      </c>
      <c r="N52" s="6">
        <f>IFERROR(__xludf.DUMMYFUNCTION("IF(REGEXMATCH(A52, ""^00-""), 0, IF(AND(EQ(F52, """"), EQ(G52, """")), 1, 0))"),0.0)</f>
        <v>0</v>
      </c>
      <c r="O52" s="6">
        <f>IFERROR(__xludf.DUMMYFUNCTION("IF(REGEXMATCH(A52, ""^00-""), 0, IF(AND(NE(F52, """"), EQ(G52, """")), 1, 0))"),0.0)</f>
        <v>0</v>
      </c>
      <c r="P52" s="6">
        <f>IFERROR(__xludf.DUMMYFUNCTION("IF(REGEXMATCH(A52, ""^00-""), 0, IF(AND(EQ(F52, """"), NE(G52, """")), 1, 0))"),0.0)</f>
        <v>0</v>
      </c>
      <c r="Q52" s="6">
        <f>IFERROR(__xludf.DUMMYFUNCTION("IF(REGEXMATCH(A52, ""^00-""), 0, IF(AND(NE(F52, """"), NE(G52, """")), 1, 0))"),1.0)</f>
        <v>1</v>
      </c>
      <c r="R52" s="6">
        <f t="shared" si="1"/>
        <v>1</v>
      </c>
    </row>
    <row r="53">
      <c r="A53" s="1" t="s">
        <v>12</v>
      </c>
      <c r="B53" s="1" t="s">
        <v>319</v>
      </c>
      <c r="C53" s="1">
        <v>528.0</v>
      </c>
      <c r="D53" s="1">
        <v>4.0</v>
      </c>
      <c r="E53" s="1">
        <v>532.0</v>
      </c>
      <c r="F53" s="1" t="s">
        <v>320</v>
      </c>
      <c r="G53" s="1" t="s">
        <v>321</v>
      </c>
      <c r="H53" s="1" t="s">
        <v>190</v>
      </c>
      <c r="I53" s="1" t="s">
        <v>172</v>
      </c>
      <c r="J53" s="1" t="s">
        <v>309</v>
      </c>
      <c r="K53" s="1" t="s">
        <v>184</v>
      </c>
      <c r="L53" s="1"/>
      <c r="M53" s="1" t="s">
        <v>191</v>
      </c>
      <c r="N53" s="6">
        <f>IFERROR(__xludf.DUMMYFUNCTION("IF(REGEXMATCH(A53, ""^00-""), 0, IF(AND(EQ(F53, """"), EQ(G53, """")), 1, 0))"),0.0)</f>
        <v>0</v>
      </c>
      <c r="O53" s="6">
        <f>IFERROR(__xludf.DUMMYFUNCTION("IF(REGEXMATCH(A53, ""^00-""), 0, IF(AND(NE(F53, """"), EQ(G53, """")), 1, 0))"),0.0)</f>
        <v>0</v>
      </c>
      <c r="P53" s="6">
        <f>IFERROR(__xludf.DUMMYFUNCTION("IF(REGEXMATCH(A53, ""^00-""), 0, IF(AND(EQ(F53, """"), NE(G53, """")), 1, 0))"),0.0)</f>
        <v>0</v>
      </c>
      <c r="Q53" s="6">
        <f>IFERROR(__xludf.DUMMYFUNCTION("IF(REGEXMATCH(A53, ""^00-""), 0, IF(AND(NE(F53, """"), NE(G53, """")), 1, 0))"),1.0)</f>
        <v>1</v>
      </c>
      <c r="R53" s="6">
        <f t="shared" si="1"/>
        <v>1</v>
      </c>
    </row>
    <row r="54">
      <c r="A54" s="1" t="s">
        <v>12</v>
      </c>
      <c r="B54" s="1" t="s">
        <v>322</v>
      </c>
      <c r="C54" s="1">
        <v>529.0</v>
      </c>
      <c r="D54" s="1">
        <v>3.0</v>
      </c>
      <c r="E54" s="1">
        <v>532.0</v>
      </c>
      <c r="F54" s="1" t="s">
        <v>323</v>
      </c>
      <c r="G54" s="1" t="s">
        <v>324</v>
      </c>
      <c r="H54" s="1" t="s">
        <v>190</v>
      </c>
      <c r="I54" s="1" t="s">
        <v>172</v>
      </c>
      <c r="J54" s="1" t="s">
        <v>309</v>
      </c>
      <c r="K54" s="1" t="s">
        <v>184</v>
      </c>
      <c r="L54" s="1"/>
      <c r="M54" s="1" t="s">
        <v>191</v>
      </c>
      <c r="N54" s="6">
        <f>IFERROR(__xludf.DUMMYFUNCTION("IF(REGEXMATCH(A54, ""^00-""), 0, IF(AND(EQ(F54, """"), EQ(G54, """")), 1, 0))"),0.0)</f>
        <v>0</v>
      </c>
      <c r="O54" s="6">
        <f>IFERROR(__xludf.DUMMYFUNCTION("IF(REGEXMATCH(A54, ""^00-""), 0, IF(AND(NE(F54, """"), EQ(G54, """")), 1, 0))"),0.0)</f>
        <v>0</v>
      </c>
      <c r="P54" s="6">
        <f>IFERROR(__xludf.DUMMYFUNCTION("IF(REGEXMATCH(A54, ""^00-""), 0, IF(AND(EQ(F54, """"), NE(G54, """")), 1, 0))"),0.0)</f>
        <v>0</v>
      </c>
      <c r="Q54" s="6">
        <f>IFERROR(__xludf.DUMMYFUNCTION("IF(REGEXMATCH(A54, ""^00-""), 0, IF(AND(NE(F54, """"), NE(G54, """")), 1, 0))"),1.0)</f>
        <v>1</v>
      </c>
      <c r="R54" s="6">
        <f t="shared" si="1"/>
        <v>1</v>
      </c>
    </row>
    <row r="55">
      <c r="A55" s="1" t="s">
        <v>12</v>
      </c>
      <c r="B55" s="1" t="s">
        <v>325</v>
      </c>
      <c r="C55" s="1">
        <v>529.0</v>
      </c>
      <c r="D55" s="1">
        <v>3.0</v>
      </c>
      <c r="E55" s="1">
        <v>532.0</v>
      </c>
      <c r="F55" s="1" t="s">
        <v>326</v>
      </c>
      <c r="G55" s="1" t="s">
        <v>327</v>
      </c>
      <c r="H55" s="1" t="s">
        <v>190</v>
      </c>
      <c r="I55" s="1" t="s">
        <v>172</v>
      </c>
      <c r="J55" s="1" t="s">
        <v>309</v>
      </c>
      <c r="K55" s="1" t="s">
        <v>184</v>
      </c>
      <c r="L55" s="1"/>
      <c r="M55" s="1" t="s">
        <v>191</v>
      </c>
      <c r="N55" s="6">
        <f>IFERROR(__xludf.DUMMYFUNCTION("IF(REGEXMATCH(A55, ""^00-""), 0, IF(AND(EQ(F55, """"), EQ(G55, """")), 1, 0))"),0.0)</f>
        <v>0</v>
      </c>
      <c r="O55" s="6">
        <f>IFERROR(__xludf.DUMMYFUNCTION("IF(REGEXMATCH(A55, ""^00-""), 0, IF(AND(NE(F55, """"), EQ(G55, """")), 1, 0))"),0.0)</f>
        <v>0</v>
      </c>
      <c r="P55" s="6">
        <f>IFERROR(__xludf.DUMMYFUNCTION("IF(REGEXMATCH(A55, ""^00-""), 0, IF(AND(EQ(F55, """"), NE(G55, """")), 1, 0))"),0.0)</f>
        <v>0</v>
      </c>
      <c r="Q55" s="6">
        <f>IFERROR(__xludf.DUMMYFUNCTION("IF(REGEXMATCH(A55, ""^00-""), 0, IF(AND(NE(F55, """"), NE(G55, """")), 1, 0))"),1.0)</f>
        <v>1</v>
      </c>
      <c r="R55" s="6">
        <f t="shared" si="1"/>
        <v>1</v>
      </c>
    </row>
    <row r="56">
      <c r="A56" s="1" t="s">
        <v>12</v>
      </c>
      <c r="B56" s="1" t="s">
        <v>328</v>
      </c>
      <c r="C56" s="1">
        <v>527.0</v>
      </c>
      <c r="D56" s="1">
        <v>5.0</v>
      </c>
      <c r="E56" s="1">
        <v>532.0</v>
      </c>
      <c r="F56" s="1" t="s">
        <v>329</v>
      </c>
      <c r="G56" s="1" t="s">
        <v>330</v>
      </c>
      <c r="H56" s="1" t="s">
        <v>190</v>
      </c>
      <c r="I56" s="1" t="s">
        <v>172</v>
      </c>
      <c r="J56" s="1" t="s">
        <v>309</v>
      </c>
      <c r="K56" s="1" t="s">
        <v>184</v>
      </c>
      <c r="L56" s="1"/>
      <c r="M56" s="1" t="s">
        <v>191</v>
      </c>
      <c r="N56" s="6">
        <f>IFERROR(__xludf.DUMMYFUNCTION("IF(REGEXMATCH(A56, ""^00-""), 0, IF(AND(EQ(F56, """"), EQ(G56, """")), 1, 0))"),0.0)</f>
        <v>0</v>
      </c>
      <c r="O56" s="6">
        <f>IFERROR(__xludf.DUMMYFUNCTION("IF(REGEXMATCH(A56, ""^00-""), 0, IF(AND(NE(F56, """"), EQ(G56, """")), 1, 0))"),0.0)</f>
        <v>0</v>
      </c>
      <c r="P56" s="6">
        <f>IFERROR(__xludf.DUMMYFUNCTION("IF(REGEXMATCH(A56, ""^00-""), 0, IF(AND(EQ(F56, """"), NE(G56, """")), 1, 0))"),0.0)</f>
        <v>0</v>
      </c>
      <c r="Q56" s="6">
        <f>IFERROR(__xludf.DUMMYFUNCTION("IF(REGEXMATCH(A56, ""^00-""), 0, IF(AND(NE(F56, """"), NE(G56, """")), 1, 0))"),1.0)</f>
        <v>1</v>
      </c>
      <c r="R56" s="6">
        <f t="shared" si="1"/>
        <v>1</v>
      </c>
    </row>
    <row r="57">
      <c r="A57" s="1" t="s">
        <v>12</v>
      </c>
      <c r="B57" s="1" t="s">
        <v>331</v>
      </c>
      <c r="C57" s="1">
        <v>528.0</v>
      </c>
      <c r="D57" s="1">
        <v>4.0</v>
      </c>
      <c r="E57" s="1">
        <v>532.0</v>
      </c>
      <c r="F57" s="1" t="s">
        <v>332</v>
      </c>
      <c r="G57" s="1" t="s">
        <v>333</v>
      </c>
      <c r="H57" s="1" t="s">
        <v>190</v>
      </c>
      <c r="I57" s="1" t="s">
        <v>172</v>
      </c>
      <c r="J57" s="1" t="s">
        <v>309</v>
      </c>
      <c r="K57" s="1" t="s">
        <v>184</v>
      </c>
      <c r="L57" s="1"/>
      <c r="M57" s="1" t="s">
        <v>191</v>
      </c>
      <c r="N57" s="6">
        <f>IFERROR(__xludf.DUMMYFUNCTION("IF(REGEXMATCH(A57, ""^00-""), 0, IF(AND(EQ(F57, """"), EQ(G57, """")), 1, 0))"),0.0)</f>
        <v>0</v>
      </c>
      <c r="O57" s="6">
        <f>IFERROR(__xludf.DUMMYFUNCTION("IF(REGEXMATCH(A57, ""^00-""), 0, IF(AND(NE(F57, """"), EQ(G57, """")), 1, 0))"),0.0)</f>
        <v>0</v>
      </c>
      <c r="P57" s="6">
        <f>IFERROR(__xludf.DUMMYFUNCTION("IF(REGEXMATCH(A57, ""^00-""), 0, IF(AND(EQ(F57, """"), NE(G57, """")), 1, 0))"),0.0)</f>
        <v>0</v>
      </c>
      <c r="Q57" s="6">
        <f>IFERROR(__xludf.DUMMYFUNCTION("IF(REGEXMATCH(A57, ""^00-""), 0, IF(AND(NE(F57, """"), NE(G57, """")), 1, 0))"),1.0)</f>
        <v>1</v>
      </c>
      <c r="R57" s="6">
        <f t="shared" si="1"/>
        <v>1</v>
      </c>
    </row>
    <row r="58">
      <c r="A58" s="1" t="s">
        <v>14</v>
      </c>
      <c r="B58" s="1" t="s">
        <v>334</v>
      </c>
      <c r="C58" s="1">
        <v>495.0</v>
      </c>
      <c r="D58" s="1">
        <v>37.0</v>
      </c>
      <c r="E58" s="1">
        <v>532.0</v>
      </c>
      <c r="F58" s="1" t="s">
        <v>335</v>
      </c>
      <c r="G58" s="1" t="s">
        <v>336</v>
      </c>
      <c r="H58" s="1" t="s">
        <v>250</v>
      </c>
      <c r="I58" s="1" t="s">
        <v>172</v>
      </c>
      <c r="J58" s="1" t="s">
        <v>337</v>
      </c>
      <c r="K58" s="1" t="s">
        <v>184</v>
      </c>
      <c r="L58" s="1"/>
      <c r="M58" s="1" t="s">
        <v>250</v>
      </c>
      <c r="N58" s="6">
        <f>IFERROR(__xludf.DUMMYFUNCTION("IF(REGEXMATCH(A58, ""^00-""), 0, IF(AND(EQ(F58, """"), EQ(G58, """")), 1, 0))"),0.0)</f>
        <v>0</v>
      </c>
      <c r="O58" s="6">
        <f>IFERROR(__xludf.DUMMYFUNCTION("IF(REGEXMATCH(A58, ""^00-""), 0, IF(AND(NE(F58, """"), EQ(G58, """")), 1, 0))"),0.0)</f>
        <v>0</v>
      </c>
      <c r="P58" s="6">
        <f>IFERROR(__xludf.DUMMYFUNCTION("IF(REGEXMATCH(A58, ""^00-""), 0, IF(AND(EQ(F58, """"), NE(G58, """")), 1, 0))"),0.0)</f>
        <v>0</v>
      </c>
      <c r="Q58" s="6">
        <f>IFERROR(__xludf.DUMMYFUNCTION("IF(REGEXMATCH(A58, ""^00-""), 0, IF(AND(NE(F58, """"), NE(G58, """")), 1, 0))"),1.0)</f>
        <v>1</v>
      </c>
      <c r="R58" s="6">
        <f t="shared" si="1"/>
        <v>1</v>
      </c>
    </row>
    <row r="59">
      <c r="A59" s="1" t="s">
        <v>14</v>
      </c>
      <c r="B59" s="1" t="s">
        <v>338</v>
      </c>
      <c r="C59" s="1">
        <v>409.0</v>
      </c>
      <c r="D59" s="1">
        <v>123.0</v>
      </c>
      <c r="E59" s="1">
        <v>532.0</v>
      </c>
      <c r="F59" s="1" t="s">
        <v>339</v>
      </c>
      <c r="G59" s="1" t="s">
        <v>340</v>
      </c>
      <c r="H59" s="1" t="s">
        <v>254</v>
      </c>
      <c r="I59" s="1" t="s">
        <v>172</v>
      </c>
      <c r="J59" s="1" t="s">
        <v>337</v>
      </c>
      <c r="K59" s="1" t="s">
        <v>184</v>
      </c>
      <c r="L59" s="1"/>
      <c r="M59" s="1" t="s">
        <v>254</v>
      </c>
      <c r="N59" s="6">
        <f>IFERROR(__xludf.DUMMYFUNCTION("IF(REGEXMATCH(A59, ""^00-""), 0, IF(AND(EQ(F59, """"), EQ(G59, """")), 1, 0))"),0.0)</f>
        <v>0</v>
      </c>
      <c r="O59" s="6">
        <f>IFERROR(__xludf.DUMMYFUNCTION("IF(REGEXMATCH(A59, ""^00-""), 0, IF(AND(NE(F59, """"), EQ(G59, """")), 1, 0))"),0.0)</f>
        <v>0</v>
      </c>
      <c r="P59" s="6">
        <f>IFERROR(__xludf.DUMMYFUNCTION("IF(REGEXMATCH(A59, ""^00-""), 0, IF(AND(EQ(F59, """"), NE(G59, """")), 1, 0))"),0.0)</f>
        <v>0</v>
      </c>
      <c r="Q59" s="6">
        <f>IFERROR(__xludf.DUMMYFUNCTION("IF(REGEXMATCH(A59, ""^00-""), 0, IF(AND(NE(F59, """"), NE(G59, """")), 1, 0))"),1.0)</f>
        <v>1</v>
      </c>
      <c r="R59" s="6">
        <f t="shared" si="1"/>
        <v>1</v>
      </c>
    </row>
    <row r="60">
      <c r="A60" s="1" t="s">
        <v>14</v>
      </c>
      <c r="B60" s="1" t="s">
        <v>341</v>
      </c>
      <c r="C60" s="1">
        <v>405.0</v>
      </c>
      <c r="D60" s="1">
        <v>127.0</v>
      </c>
      <c r="E60" s="1">
        <v>532.0</v>
      </c>
      <c r="F60" s="1" t="s">
        <v>342</v>
      </c>
      <c r="G60" s="1" t="s">
        <v>343</v>
      </c>
      <c r="H60" s="1" t="s">
        <v>250</v>
      </c>
      <c r="I60" s="1" t="s">
        <v>172</v>
      </c>
      <c r="J60" s="1" t="s">
        <v>337</v>
      </c>
      <c r="K60" s="1" t="s">
        <v>184</v>
      </c>
      <c r="L60" s="1"/>
      <c r="M60" s="1" t="s">
        <v>250</v>
      </c>
      <c r="N60" s="6">
        <f>IFERROR(__xludf.DUMMYFUNCTION("IF(REGEXMATCH(A60, ""^00-""), 0, IF(AND(EQ(F60, """"), EQ(G60, """")), 1, 0))"),0.0)</f>
        <v>0</v>
      </c>
      <c r="O60" s="6">
        <f>IFERROR(__xludf.DUMMYFUNCTION("IF(REGEXMATCH(A60, ""^00-""), 0, IF(AND(NE(F60, """"), EQ(G60, """")), 1, 0))"),0.0)</f>
        <v>0</v>
      </c>
      <c r="P60" s="6">
        <f>IFERROR(__xludf.DUMMYFUNCTION("IF(REGEXMATCH(A60, ""^00-""), 0, IF(AND(EQ(F60, """"), NE(G60, """")), 1, 0))"),0.0)</f>
        <v>0</v>
      </c>
      <c r="Q60" s="6">
        <f>IFERROR(__xludf.DUMMYFUNCTION("IF(REGEXMATCH(A60, ""^00-""), 0, IF(AND(NE(F60, """"), NE(G60, """")), 1, 0))"),1.0)</f>
        <v>1</v>
      </c>
      <c r="R60" s="6">
        <f t="shared" si="1"/>
        <v>1</v>
      </c>
    </row>
    <row r="61">
      <c r="A61" s="1" t="s">
        <v>14</v>
      </c>
      <c r="B61" s="1" t="s">
        <v>344</v>
      </c>
      <c r="C61" s="1">
        <v>370.0</v>
      </c>
      <c r="D61" s="1">
        <v>162.0</v>
      </c>
      <c r="E61" s="1">
        <v>532.0</v>
      </c>
      <c r="F61" s="1" t="s">
        <v>345</v>
      </c>
      <c r="G61" s="1" t="s">
        <v>346</v>
      </c>
      <c r="H61" s="1" t="s">
        <v>254</v>
      </c>
      <c r="I61" s="1" t="s">
        <v>172</v>
      </c>
      <c r="J61" s="1" t="s">
        <v>337</v>
      </c>
      <c r="K61" s="1" t="s">
        <v>184</v>
      </c>
      <c r="L61" s="1"/>
      <c r="M61" s="1" t="s">
        <v>254</v>
      </c>
      <c r="N61" s="6">
        <f>IFERROR(__xludf.DUMMYFUNCTION("IF(REGEXMATCH(A61, ""^00-""), 0, IF(AND(EQ(F61, """"), EQ(G61, """")), 1, 0))"),0.0)</f>
        <v>0</v>
      </c>
      <c r="O61" s="6">
        <f>IFERROR(__xludf.DUMMYFUNCTION("IF(REGEXMATCH(A61, ""^00-""), 0, IF(AND(NE(F61, """"), EQ(G61, """")), 1, 0))"),0.0)</f>
        <v>0</v>
      </c>
      <c r="P61" s="6">
        <f>IFERROR(__xludf.DUMMYFUNCTION("IF(REGEXMATCH(A61, ""^00-""), 0, IF(AND(EQ(F61, """"), NE(G61, """")), 1, 0))"),0.0)</f>
        <v>0</v>
      </c>
      <c r="Q61" s="6">
        <f>IFERROR(__xludf.DUMMYFUNCTION("IF(REGEXMATCH(A61, ""^00-""), 0, IF(AND(NE(F61, """"), NE(G61, """")), 1, 0))"),1.0)</f>
        <v>1</v>
      </c>
      <c r="R61" s="6">
        <f t="shared" si="1"/>
        <v>1</v>
      </c>
    </row>
    <row r="62">
      <c r="A62" s="1" t="s">
        <v>14</v>
      </c>
      <c r="B62" s="1" t="s">
        <v>347</v>
      </c>
      <c r="C62" s="1">
        <v>64.0</v>
      </c>
      <c r="D62" s="1">
        <v>468.0</v>
      </c>
      <c r="E62" s="1">
        <v>532.0</v>
      </c>
      <c r="F62" s="1" t="s">
        <v>348</v>
      </c>
      <c r="G62" s="1" t="s">
        <v>349</v>
      </c>
      <c r="H62" s="1" t="s">
        <v>190</v>
      </c>
      <c r="I62" s="1" t="s">
        <v>172</v>
      </c>
      <c r="J62" s="1" t="s">
        <v>337</v>
      </c>
      <c r="K62" s="1" t="s">
        <v>184</v>
      </c>
      <c r="L62" s="1"/>
      <c r="M62" s="1" t="s">
        <v>191</v>
      </c>
      <c r="N62" s="6">
        <f>IFERROR(__xludf.DUMMYFUNCTION("IF(REGEXMATCH(A62, ""^00-""), 0, IF(AND(EQ(F62, """"), EQ(G62, """")), 1, 0))"),0.0)</f>
        <v>0</v>
      </c>
      <c r="O62" s="6">
        <f>IFERROR(__xludf.DUMMYFUNCTION("IF(REGEXMATCH(A62, ""^00-""), 0, IF(AND(NE(F62, """"), EQ(G62, """")), 1, 0))"),0.0)</f>
        <v>0</v>
      </c>
      <c r="P62" s="6">
        <f>IFERROR(__xludf.DUMMYFUNCTION("IF(REGEXMATCH(A62, ""^00-""), 0, IF(AND(EQ(F62, """"), NE(G62, """")), 1, 0))"),0.0)</f>
        <v>0</v>
      </c>
      <c r="Q62" s="6">
        <f>IFERROR(__xludf.DUMMYFUNCTION("IF(REGEXMATCH(A62, ""^00-""), 0, IF(AND(NE(F62, """"), NE(G62, """")), 1, 0))"),1.0)</f>
        <v>1</v>
      </c>
      <c r="R62" s="6">
        <f t="shared" si="1"/>
        <v>1</v>
      </c>
    </row>
    <row r="63">
      <c r="A63" s="1" t="s">
        <v>14</v>
      </c>
      <c r="B63" s="1" t="s">
        <v>350</v>
      </c>
      <c r="C63" s="1">
        <v>363.0</v>
      </c>
      <c r="D63" s="1">
        <v>169.0</v>
      </c>
      <c r="E63" s="1">
        <v>532.0</v>
      </c>
      <c r="F63" s="1"/>
      <c r="G63" s="1" t="s">
        <v>351</v>
      </c>
      <c r="H63" s="1" t="s">
        <v>190</v>
      </c>
      <c r="I63" s="1" t="s">
        <v>172</v>
      </c>
      <c r="J63" s="1" t="s">
        <v>337</v>
      </c>
      <c r="K63" s="1" t="s">
        <v>184</v>
      </c>
      <c r="L63" s="1"/>
      <c r="M63" s="1" t="s">
        <v>191</v>
      </c>
      <c r="N63" s="6">
        <f>IFERROR(__xludf.DUMMYFUNCTION("IF(REGEXMATCH(A63, ""^00-""), 0, IF(AND(EQ(F63, """"), EQ(G63, """")), 1, 0))"),0.0)</f>
        <v>0</v>
      </c>
      <c r="O63" s="6">
        <f>IFERROR(__xludf.DUMMYFUNCTION("IF(REGEXMATCH(A63, ""^00-""), 0, IF(AND(NE(F63, """"), EQ(G63, """")), 1, 0))"),0.0)</f>
        <v>0</v>
      </c>
      <c r="P63" s="6">
        <f>IFERROR(__xludf.DUMMYFUNCTION("IF(REGEXMATCH(A63, ""^00-""), 0, IF(AND(EQ(F63, """"), NE(G63, """")), 1, 0))"),1.0)</f>
        <v>1</v>
      </c>
      <c r="Q63" s="6">
        <f>IFERROR(__xludf.DUMMYFUNCTION("IF(REGEXMATCH(A63, ""^00-""), 0, IF(AND(NE(F63, """"), NE(G63, """")), 1, 0))"),0.0)</f>
        <v>0</v>
      </c>
      <c r="R63" s="6">
        <f t="shared" si="1"/>
        <v>1</v>
      </c>
    </row>
    <row r="64">
      <c r="A64" s="1" t="s">
        <v>14</v>
      </c>
      <c r="B64" s="1" t="s">
        <v>352</v>
      </c>
      <c r="C64" s="1">
        <v>165.0</v>
      </c>
      <c r="D64" s="1">
        <v>367.0</v>
      </c>
      <c r="E64" s="1">
        <v>532.0</v>
      </c>
      <c r="F64" s="1" t="s">
        <v>353</v>
      </c>
      <c r="G64" s="1"/>
      <c r="H64" s="1" t="s">
        <v>190</v>
      </c>
      <c r="I64" s="1" t="s">
        <v>172</v>
      </c>
      <c r="J64" s="1" t="s">
        <v>337</v>
      </c>
      <c r="K64" s="1" t="s">
        <v>184</v>
      </c>
      <c r="L64" s="1"/>
      <c r="M64" s="1" t="s">
        <v>191</v>
      </c>
      <c r="N64" s="6">
        <f>IFERROR(__xludf.DUMMYFUNCTION("IF(REGEXMATCH(A64, ""^00-""), 0, IF(AND(EQ(F64, """"), EQ(G64, """")), 1, 0))"),0.0)</f>
        <v>0</v>
      </c>
      <c r="O64" s="6">
        <f>IFERROR(__xludf.DUMMYFUNCTION("IF(REGEXMATCH(A64, ""^00-""), 0, IF(AND(NE(F64, """"), EQ(G64, """")), 1, 0))"),1.0)</f>
        <v>1</v>
      </c>
      <c r="P64" s="6">
        <f>IFERROR(__xludf.DUMMYFUNCTION("IF(REGEXMATCH(A64, ""^00-""), 0, IF(AND(EQ(F64, """"), NE(G64, """")), 1, 0))"),0.0)</f>
        <v>0</v>
      </c>
      <c r="Q64" s="6">
        <f>IFERROR(__xludf.DUMMYFUNCTION("IF(REGEXMATCH(A64, ""^00-""), 0, IF(AND(NE(F64, """"), NE(G64, """")), 1, 0))"),0.0)</f>
        <v>0</v>
      </c>
      <c r="R64" s="6">
        <f t="shared" si="1"/>
        <v>1</v>
      </c>
    </row>
    <row r="65">
      <c r="A65" s="1" t="s">
        <v>14</v>
      </c>
      <c r="B65" s="1" t="s">
        <v>354</v>
      </c>
      <c r="C65" s="1">
        <v>116.0</v>
      </c>
      <c r="D65" s="1">
        <v>416.0</v>
      </c>
      <c r="E65" s="1">
        <v>532.0</v>
      </c>
      <c r="F65" s="1" t="s">
        <v>355</v>
      </c>
      <c r="G65" s="1"/>
      <c r="H65" s="1" t="s">
        <v>250</v>
      </c>
      <c r="I65" s="1" t="s">
        <v>172</v>
      </c>
      <c r="J65" s="1" t="s">
        <v>337</v>
      </c>
      <c r="K65" s="1" t="s">
        <v>184</v>
      </c>
      <c r="L65" s="1"/>
      <c r="M65" s="1" t="s">
        <v>250</v>
      </c>
      <c r="N65" s="6">
        <f>IFERROR(__xludf.DUMMYFUNCTION("IF(REGEXMATCH(A65, ""^00-""), 0, IF(AND(EQ(F65, """"), EQ(G65, """")), 1, 0))"),0.0)</f>
        <v>0</v>
      </c>
      <c r="O65" s="6">
        <f>IFERROR(__xludf.DUMMYFUNCTION("IF(REGEXMATCH(A65, ""^00-""), 0, IF(AND(NE(F65, """"), EQ(G65, """")), 1, 0))"),1.0)</f>
        <v>1</v>
      </c>
      <c r="P65" s="6">
        <f>IFERROR(__xludf.DUMMYFUNCTION("IF(REGEXMATCH(A65, ""^00-""), 0, IF(AND(EQ(F65, """"), NE(G65, """")), 1, 0))"),0.0)</f>
        <v>0</v>
      </c>
      <c r="Q65" s="6">
        <f>IFERROR(__xludf.DUMMYFUNCTION("IF(REGEXMATCH(A65, ""^00-""), 0, IF(AND(NE(F65, """"), NE(G65, """")), 1, 0))"),0.0)</f>
        <v>0</v>
      </c>
      <c r="R65" s="6">
        <f t="shared" si="1"/>
        <v>1</v>
      </c>
    </row>
    <row r="66">
      <c r="A66" s="1" t="s">
        <v>14</v>
      </c>
      <c r="B66" s="1" t="s">
        <v>356</v>
      </c>
      <c r="C66" s="1">
        <v>85.0</v>
      </c>
      <c r="D66" s="1">
        <v>447.0</v>
      </c>
      <c r="E66" s="1">
        <v>532.0</v>
      </c>
      <c r="F66" s="1" t="s">
        <v>357</v>
      </c>
      <c r="G66" s="1"/>
      <c r="H66" s="1" t="s">
        <v>254</v>
      </c>
      <c r="I66" s="1" t="s">
        <v>172</v>
      </c>
      <c r="J66" s="1" t="s">
        <v>337</v>
      </c>
      <c r="K66" s="1" t="s">
        <v>184</v>
      </c>
      <c r="L66" s="1"/>
      <c r="M66" s="1" t="s">
        <v>254</v>
      </c>
      <c r="N66" s="6">
        <f>IFERROR(__xludf.DUMMYFUNCTION("IF(REGEXMATCH(A66, ""^00-""), 0, IF(AND(EQ(F66, """"), EQ(G66, """")), 1, 0))"),0.0)</f>
        <v>0</v>
      </c>
      <c r="O66" s="6">
        <f>IFERROR(__xludf.DUMMYFUNCTION("IF(REGEXMATCH(A66, ""^00-""), 0, IF(AND(NE(F66, """"), EQ(G66, """")), 1, 0))"),1.0)</f>
        <v>1</v>
      </c>
      <c r="P66" s="6">
        <f>IFERROR(__xludf.DUMMYFUNCTION("IF(REGEXMATCH(A66, ""^00-""), 0, IF(AND(EQ(F66, """"), NE(G66, """")), 1, 0))"),0.0)</f>
        <v>0</v>
      </c>
      <c r="Q66" s="6">
        <f>IFERROR(__xludf.DUMMYFUNCTION("IF(REGEXMATCH(A66, ""^00-""), 0, IF(AND(NE(F66, """"), NE(G66, """")), 1, 0))"),0.0)</f>
        <v>0</v>
      </c>
      <c r="R66" s="6">
        <f t="shared" si="1"/>
        <v>1</v>
      </c>
    </row>
    <row r="67">
      <c r="A67" s="1" t="s">
        <v>14</v>
      </c>
      <c r="B67" s="1" t="s">
        <v>358</v>
      </c>
      <c r="C67" s="1">
        <v>532.0</v>
      </c>
      <c r="D67" s="1">
        <v>0.0</v>
      </c>
      <c r="E67" s="1">
        <v>532.0</v>
      </c>
      <c r="F67" s="1" t="s">
        <v>359</v>
      </c>
      <c r="G67" s="1" t="s">
        <v>360</v>
      </c>
      <c r="H67" s="1" t="s">
        <v>235</v>
      </c>
      <c r="I67" s="1" t="s">
        <v>172</v>
      </c>
      <c r="J67" s="1" t="s">
        <v>337</v>
      </c>
      <c r="K67" s="1" t="s">
        <v>184</v>
      </c>
      <c r="L67" s="1"/>
      <c r="M67" s="1" t="s">
        <v>358</v>
      </c>
      <c r="N67" s="6">
        <f>IFERROR(__xludf.DUMMYFUNCTION("IF(REGEXMATCH(A67, ""^00-""), 0, IF(AND(EQ(F67, """"), EQ(G67, """")), 1, 0))"),0.0)</f>
        <v>0</v>
      </c>
      <c r="O67" s="6">
        <f>IFERROR(__xludf.DUMMYFUNCTION("IF(REGEXMATCH(A67, ""^00-""), 0, IF(AND(NE(F67, """"), EQ(G67, """")), 1, 0))"),0.0)</f>
        <v>0</v>
      </c>
      <c r="P67" s="6">
        <f>IFERROR(__xludf.DUMMYFUNCTION("IF(REGEXMATCH(A67, ""^00-""), 0, IF(AND(EQ(F67, """"), NE(G67, """")), 1, 0))"),0.0)</f>
        <v>0</v>
      </c>
      <c r="Q67" s="6">
        <f>IFERROR(__xludf.DUMMYFUNCTION("IF(REGEXMATCH(A67, ""^00-""), 0, IF(AND(NE(F67, """"), NE(G67, """")), 1, 0))"),1.0)</f>
        <v>1</v>
      </c>
      <c r="R67" s="6">
        <f t="shared" si="1"/>
        <v>1</v>
      </c>
    </row>
    <row r="68">
      <c r="A68" s="1" t="s">
        <v>14</v>
      </c>
      <c r="B68" s="1" t="s">
        <v>361</v>
      </c>
      <c r="C68" s="1">
        <v>527.0</v>
      </c>
      <c r="D68" s="1">
        <v>5.0</v>
      </c>
      <c r="E68" s="1">
        <v>532.0</v>
      </c>
      <c r="F68" s="1" t="s">
        <v>362</v>
      </c>
      <c r="G68" s="1" t="s">
        <v>363</v>
      </c>
      <c r="H68" s="1" t="s">
        <v>190</v>
      </c>
      <c r="I68" s="1" t="s">
        <v>172</v>
      </c>
      <c r="J68" s="1" t="s">
        <v>337</v>
      </c>
      <c r="K68" s="1" t="s">
        <v>184</v>
      </c>
      <c r="L68" s="1"/>
      <c r="M68" s="1" t="s">
        <v>191</v>
      </c>
      <c r="N68" s="6">
        <f>IFERROR(__xludf.DUMMYFUNCTION("IF(REGEXMATCH(A68, ""^00-""), 0, IF(AND(EQ(F68, """"), EQ(G68, """")), 1, 0))"),0.0)</f>
        <v>0</v>
      </c>
      <c r="O68" s="6">
        <f>IFERROR(__xludf.DUMMYFUNCTION("IF(REGEXMATCH(A68, ""^00-""), 0, IF(AND(NE(F68, """"), EQ(G68, """")), 1, 0))"),0.0)</f>
        <v>0</v>
      </c>
      <c r="P68" s="6">
        <f>IFERROR(__xludf.DUMMYFUNCTION("IF(REGEXMATCH(A68, ""^00-""), 0, IF(AND(EQ(F68, """"), NE(G68, """")), 1, 0))"),0.0)</f>
        <v>0</v>
      </c>
      <c r="Q68" s="6">
        <f>IFERROR(__xludf.DUMMYFUNCTION("IF(REGEXMATCH(A68, ""^00-""), 0, IF(AND(NE(F68, """"), NE(G68, """")), 1, 0))"),1.0)</f>
        <v>1</v>
      </c>
      <c r="R68" s="6">
        <f t="shared" si="1"/>
        <v>1</v>
      </c>
    </row>
    <row r="69">
      <c r="A69" s="1" t="s">
        <v>14</v>
      </c>
      <c r="B69" s="1" t="s">
        <v>364</v>
      </c>
      <c r="C69" s="1">
        <v>532.0</v>
      </c>
      <c r="D69" s="1">
        <v>0.0</v>
      </c>
      <c r="E69" s="1">
        <v>532.0</v>
      </c>
      <c r="F69" s="1" t="s">
        <v>365</v>
      </c>
      <c r="G69" s="1" t="s">
        <v>366</v>
      </c>
      <c r="H69" s="1" t="s">
        <v>190</v>
      </c>
      <c r="I69" s="1" t="s">
        <v>172</v>
      </c>
      <c r="J69" s="1" t="s">
        <v>337</v>
      </c>
      <c r="K69" s="1" t="s">
        <v>184</v>
      </c>
      <c r="L69" s="1"/>
      <c r="M69" s="1" t="s">
        <v>191</v>
      </c>
      <c r="N69" s="6">
        <f>IFERROR(__xludf.DUMMYFUNCTION("IF(REGEXMATCH(A69, ""^00-""), 0, IF(AND(EQ(F69, """"), EQ(G69, """")), 1, 0))"),0.0)</f>
        <v>0</v>
      </c>
      <c r="O69" s="6">
        <f>IFERROR(__xludf.DUMMYFUNCTION("IF(REGEXMATCH(A69, ""^00-""), 0, IF(AND(NE(F69, """"), EQ(G69, """")), 1, 0))"),0.0)</f>
        <v>0</v>
      </c>
      <c r="P69" s="6">
        <f>IFERROR(__xludf.DUMMYFUNCTION("IF(REGEXMATCH(A69, ""^00-""), 0, IF(AND(EQ(F69, """"), NE(G69, """")), 1, 0))"),0.0)</f>
        <v>0</v>
      </c>
      <c r="Q69" s="6">
        <f>IFERROR(__xludf.DUMMYFUNCTION("IF(REGEXMATCH(A69, ""^00-""), 0, IF(AND(NE(F69, """"), NE(G69, """")), 1, 0))"),1.0)</f>
        <v>1</v>
      </c>
      <c r="R69" s="6">
        <f t="shared" si="1"/>
        <v>1</v>
      </c>
    </row>
    <row r="70">
      <c r="A70" s="1" t="s">
        <v>14</v>
      </c>
      <c r="B70" s="1" t="s">
        <v>367</v>
      </c>
      <c r="C70" s="1">
        <v>532.0</v>
      </c>
      <c r="D70" s="1">
        <v>0.0</v>
      </c>
      <c r="E70" s="1">
        <v>532.0</v>
      </c>
      <c r="F70" s="1" t="s">
        <v>368</v>
      </c>
      <c r="G70" s="1" t="s">
        <v>369</v>
      </c>
      <c r="H70" s="1" t="s">
        <v>190</v>
      </c>
      <c r="I70" s="1" t="s">
        <v>172</v>
      </c>
      <c r="J70" s="1" t="s">
        <v>337</v>
      </c>
      <c r="K70" s="1" t="s">
        <v>184</v>
      </c>
      <c r="L70" s="1"/>
      <c r="M70" s="1" t="s">
        <v>191</v>
      </c>
      <c r="N70" s="6">
        <f>IFERROR(__xludf.DUMMYFUNCTION("IF(REGEXMATCH(A70, ""^00-""), 0, IF(AND(EQ(F70, """"), EQ(G70, """")), 1, 0))"),0.0)</f>
        <v>0</v>
      </c>
      <c r="O70" s="6">
        <f>IFERROR(__xludf.DUMMYFUNCTION("IF(REGEXMATCH(A70, ""^00-""), 0, IF(AND(NE(F70, """"), EQ(G70, """")), 1, 0))"),0.0)</f>
        <v>0</v>
      </c>
      <c r="P70" s="6">
        <f>IFERROR(__xludf.DUMMYFUNCTION("IF(REGEXMATCH(A70, ""^00-""), 0, IF(AND(EQ(F70, """"), NE(G70, """")), 1, 0))"),0.0)</f>
        <v>0</v>
      </c>
      <c r="Q70" s="6">
        <f>IFERROR(__xludf.DUMMYFUNCTION("IF(REGEXMATCH(A70, ""^00-""), 0, IF(AND(NE(F70, """"), NE(G70, """")), 1, 0))"),1.0)</f>
        <v>1</v>
      </c>
      <c r="R70" s="6">
        <f t="shared" si="1"/>
        <v>1</v>
      </c>
    </row>
    <row r="71">
      <c r="A71" s="1" t="s">
        <v>14</v>
      </c>
      <c r="B71" s="1" t="s">
        <v>370</v>
      </c>
      <c r="C71" s="1">
        <v>531.0</v>
      </c>
      <c r="D71" s="1">
        <v>1.0</v>
      </c>
      <c r="E71" s="1">
        <v>532.0</v>
      </c>
      <c r="F71" s="1" t="s">
        <v>371</v>
      </c>
      <c r="G71" s="1" t="s">
        <v>372</v>
      </c>
      <c r="H71" s="1" t="s">
        <v>190</v>
      </c>
      <c r="I71" s="1" t="s">
        <v>172</v>
      </c>
      <c r="J71" s="1" t="s">
        <v>337</v>
      </c>
      <c r="K71" s="1" t="s">
        <v>184</v>
      </c>
      <c r="L71" s="1"/>
      <c r="M71" s="1" t="s">
        <v>191</v>
      </c>
      <c r="N71" s="6">
        <f>IFERROR(__xludf.DUMMYFUNCTION("IF(REGEXMATCH(A71, ""^00-""), 0, IF(AND(EQ(F71, """"), EQ(G71, """")), 1, 0))"),0.0)</f>
        <v>0</v>
      </c>
      <c r="O71" s="6">
        <f>IFERROR(__xludf.DUMMYFUNCTION("IF(REGEXMATCH(A71, ""^00-""), 0, IF(AND(NE(F71, """"), EQ(G71, """")), 1, 0))"),0.0)</f>
        <v>0</v>
      </c>
      <c r="P71" s="6">
        <f>IFERROR(__xludf.DUMMYFUNCTION("IF(REGEXMATCH(A71, ""^00-""), 0, IF(AND(EQ(F71, """"), NE(G71, """")), 1, 0))"),0.0)</f>
        <v>0</v>
      </c>
      <c r="Q71" s="6">
        <f>IFERROR(__xludf.DUMMYFUNCTION("IF(REGEXMATCH(A71, ""^00-""), 0, IF(AND(NE(F71, """"), NE(G71, """")), 1, 0))"),1.0)</f>
        <v>1</v>
      </c>
      <c r="R71" s="6">
        <f t="shared" si="1"/>
        <v>1</v>
      </c>
    </row>
    <row r="72">
      <c r="A72" s="1" t="s">
        <v>14</v>
      </c>
      <c r="B72" s="1" t="s">
        <v>373</v>
      </c>
      <c r="C72" s="1">
        <v>532.0</v>
      </c>
      <c r="D72" s="1">
        <v>0.0</v>
      </c>
      <c r="E72" s="1">
        <v>532.0</v>
      </c>
      <c r="F72" s="1" t="s">
        <v>374</v>
      </c>
      <c r="G72" s="1" t="s">
        <v>375</v>
      </c>
      <c r="H72" s="1" t="s">
        <v>190</v>
      </c>
      <c r="I72" s="1" t="s">
        <v>172</v>
      </c>
      <c r="J72" s="1" t="s">
        <v>337</v>
      </c>
      <c r="K72" s="1" t="s">
        <v>184</v>
      </c>
      <c r="L72" s="1"/>
      <c r="M72" s="1" t="s">
        <v>191</v>
      </c>
      <c r="N72" s="6">
        <f>IFERROR(__xludf.DUMMYFUNCTION("IF(REGEXMATCH(A72, ""^00-""), 0, IF(AND(EQ(F72, """"), EQ(G72, """")), 1, 0))"),0.0)</f>
        <v>0</v>
      </c>
      <c r="O72" s="6">
        <f>IFERROR(__xludf.DUMMYFUNCTION("IF(REGEXMATCH(A72, ""^00-""), 0, IF(AND(NE(F72, """"), EQ(G72, """")), 1, 0))"),0.0)</f>
        <v>0</v>
      </c>
      <c r="P72" s="6">
        <f>IFERROR(__xludf.DUMMYFUNCTION("IF(REGEXMATCH(A72, ""^00-""), 0, IF(AND(EQ(F72, """"), NE(G72, """")), 1, 0))"),0.0)</f>
        <v>0</v>
      </c>
      <c r="Q72" s="6">
        <f>IFERROR(__xludf.DUMMYFUNCTION("IF(REGEXMATCH(A72, ""^00-""), 0, IF(AND(NE(F72, """"), NE(G72, """")), 1, 0))"),1.0)</f>
        <v>1</v>
      </c>
      <c r="R72" s="6">
        <f t="shared" si="1"/>
        <v>1</v>
      </c>
    </row>
    <row r="73">
      <c r="A73" s="1" t="s">
        <v>14</v>
      </c>
      <c r="B73" s="1" t="s">
        <v>376</v>
      </c>
      <c r="C73" s="1">
        <v>532.0</v>
      </c>
      <c r="D73" s="1">
        <v>0.0</v>
      </c>
      <c r="E73" s="1">
        <v>532.0</v>
      </c>
      <c r="F73" s="1" t="s">
        <v>377</v>
      </c>
      <c r="G73" s="1" t="s">
        <v>378</v>
      </c>
      <c r="H73" s="1" t="s">
        <v>190</v>
      </c>
      <c r="I73" s="1" t="s">
        <v>172</v>
      </c>
      <c r="J73" s="1" t="s">
        <v>337</v>
      </c>
      <c r="K73" s="1" t="s">
        <v>184</v>
      </c>
      <c r="L73" s="1"/>
      <c r="M73" s="1" t="s">
        <v>191</v>
      </c>
      <c r="N73" s="6">
        <f>IFERROR(__xludf.DUMMYFUNCTION("IF(REGEXMATCH(A73, ""^00-""), 0, IF(AND(EQ(F73, """"), EQ(G73, """")), 1, 0))"),0.0)</f>
        <v>0</v>
      </c>
      <c r="O73" s="6">
        <f>IFERROR(__xludf.DUMMYFUNCTION("IF(REGEXMATCH(A73, ""^00-""), 0, IF(AND(NE(F73, """"), EQ(G73, """")), 1, 0))"),0.0)</f>
        <v>0</v>
      </c>
      <c r="P73" s="6">
        <f>IFERROR(__xludf.DUMMYFUNCTION("IF(REGEXMATCH(A73, ""^00-""), 0, IF(AND(EQ(F73, """"), NE(G73, """")), 1, 0))"),0.0)</f>
        <v>0</v>
      </c>
      <c r="Q73" s="6">
        <f>IFERROR(__xludf.DUMMYFUNCTION("IF(REGEXMATCH(A73, ""^00-""), 0, IF(AND(NE(F73, """"), NE(G73, """")), 1, 0))"),1.0)</f>
        <v>1</v>
      </c>
      <c r="R73" s="6">
        <f t="shared" si="1"/>
        <v>1</v>
      </c>
    </row>
    <row r="74">
      <c r="A74" s="1" t="s">
        <v>14</v>
      </c>
      <c r="B74" s="1" t="s">
        <v>379</v>
      </c>
      <c r="C74" s="1">
        <v>532.0</v>
      </c>
      <c r="D74" s="1">
        <v>0.0</v>
      </c>
      <c r="E74" s="1">
        <v>532.0</v>
      </c>
      <c r="F74" s="1" t="s">
        <v>380</v>
      </c>
      <c r="G74" s="1" t="s">
        <v>381</v>
      </c>
      <c r="H74" s="1" t="s">
        <v>190</v>
      </c>
      <c r="I74" s="1" t="s">
        <v>172</v>
      </c>
      <c r="J74" s="1" t="s">
        <v>337</v>
      </c>
      <c r="K74" s="1" t="s">
        <v>184</v>
      </c>
      <c r="L74" s="1"/>
      <c r="M74" s="1" t="s">
        <v>191</v>
      </c>
      <c r="N74" s="6">
        <f>IFERROR(__xludf.DUMMYFUNCTION("IF(REGEXMATCH(A74, ""^00-""), 0, IF(AND(EQ(F74, """"), EQ(G74, """")), 1, 0))"),0.0)</f>
        <v>0</v>
      </c>
      <c r="O74" s="6">
        <f>IFERROR(__xludf.DUMMYFUNCTION("IF(REGEXMATCH(A74, ""^00-""), 0, IF(AND(NE(F74, """"), EQ(G74, """")), 1, 0))"),0.0)</f>
        <v>0</v>
      </c>
      <c r="P74" s="6">
        <f>IFERROR(__xludf.DUMMYFUNCTION("IF(REGEXMATCH(A74, ""^00-""), 0, IF(AND(EQ(F74, """"), NE(G74, """")), 1, 0))"),0.0)</f>
        <v>0</v>
      </c>
      <c r="Q74" s="6">
        <f>IFERROR(__xludf.DUMMYFUNCTION("IF(REGEXMATCH(A74, ""^00-""), 0, IF(AND(NE(F74, """"), NE(G74, """")), 1, 0))"),1.0)</f>
        <v>1</v>
      </c>
      <c r="R74" s="6">
        <f t="shared" si="1"/>
        <v>1</v>
      </c>
    </row>
    <row r="75">
      <c r="A75" s="1" t="s">
        <v>14</v>
      </c>
      <c r="B75" s="1" t="s">
        <v>382</v>
      </c>
      <c r="C75" s="1">
        <v>532.0</v>
      </c>
      <c r="D75" s="1">
        <v>0.0</v>
      </c>
      <c r="E75" s="1">
        <v>532.0</v>
      </c>
      <c r="F75" s="1" t="s">
        <v>383</v>
      </c>
      <c r="G75" s="1" t="s">
        <v>384</v>
      </c>
      <c r="H75" s="1" t="s">
        <v>190</v>
      </c>
      <c r="I75" s="1" t="s">
        <v>172</v>
      </c>
      <c r="J75" s="1" t="s">
        <v>337</v>
      </c>
      <c r="K75" s="1" t="s">
        <v>184</v>
      </c>
      <c r="L75" s="1"/>
      <c r="M75" s="1" t="s">
        <v>191</v>
      </c>
      <c r="N75" s="6">
        <f>IFERROR(__xludf.DUMMYFUNCTION("IF(REGEXMATCH(A75, ""^00-""), 0, IF(AND(EQ(F75, """"), EQ(G75, """")), 1, 0))"),0.0)</f>
        <v>0</v>
      </c>
      <c r="O75" s="6">
        <f>IFERROR(__xludf.DUMMYFUNCTION("IF(REGEXMATCH(A75, ""^00-""), 0, IF(AND(NE(F75, """"), EQ(G75, """")), 1, 0))"),0.0)</f>
        <v>0</v>
      </c>
      <c r="P75" s="6">
        <f>IFERROR(__xludf.DUMMYFUNCTION("IF(REGEXMATCH(A75, ""^00-""), 0, IF(AND(EQ(F75, """"), NE(G75, """")), 1, 0))"),0.0)</f>
        <v>0</v>
      </c>
      <c r="Q75" s="6">
        <f>IFERROR(__xludf.DUMMYFUNCTION("IF(REGEXMATCH(A75, ""^00-""), 0, IF(AND(NE(F75, """"), NE(G75, """")), 1, 0))"),1.0)</f>
        <v>1</v>
      </c>
      <c r="R75" s="6">
        <f t="shared" si="1"/>
        <v>1</v>
      </c>
    </row>
    <row r="76">
      <c r="A76" s="1" t="s">
        <v>14</v>
      </c>
      <c r="B76" s="1" t="s">
        <v>385</v>
      </c>
      <c r="C76" s="1">
        <v>531.0</v>
      </c>
      <c r="D76" s="1">
        <v>1.0</v>
      </c>
      <c r="E76" s="1">
        <v>532.0</v>
      </c>
      <c r="F76" s="1" t="s">
        <v>386</v>
      </c>
      <c r="G76" s="1" t="s">
        <v>387</v>
      </c>
      <c r="H76" s="1" t="s">
        <v>190</v>
      </c>
      <c r="I76" s="1" t="s">
        <v>172</v>
      </c>
      <c r="J76" s="1" t="s">
        <v>337</v>
      </c>
      <c r="K76" s="1" t="s">
        <v>184</v>
      </c>
      <c r="L76" s="1"/>
      <c r="M76" s="1" t="s">
        <v>191</v>
      </c>
      <c r="N76" s="6">
        <f>IFERROR(__xludf.DUMMYFUNCTION("IF(REGEXMATCH(A76, ""^00-""), 0, IF(AND(EQ(F76, """"), EQ(G76, """")), 1, 0))"),0.0)</f>
        <v>0</v>
      </c>
      <c r="O76" s="6">
        <f>IFERROR(__xludf.DUMMYFUNCTION("IF(REGEXMATCH(A76, ""^00-""), 0, IF(AND(NE(F76, """"), EQ(G76, """")), 1, 0))"),0.0)</f>
        <v>0</v>
      </c>
      <c r="P76" s="6">
        <f>IFERROR(__xludf.DUMMYFUNCTION("IF(REGEXMATCH(A76, ""^00-""), 0, IF(AND(EQ(F76, """"), NE(G76, """")), 1, 0))"),0.0)</f>
        <v>0</v>
      </c>
      <c r="Q76" s="6">
        <f>IFERROR(__xludf.DUMMYFUNCTION("IF(REGEXMATCH(A76, ""^00-""), 0, IF(AND(NE(F76, """"), NE(G76, """")), 1, 0))"),1.0)</f>
        <v>1</v>
      </c>
      <c r="R76" s="6">
        <f t="shared" si="1"/>
        <v>1</v>
      </c>
    </row>
    <row r="77">
      <c r="A77" s="1" t="s">
        <v>14</v>
      </c>
      <c r="B77" s="1" t="s">
        <v>388</v>
      </c>
      <c r="C77" s="1">
        <v>362.0</v>
      </c>
      <c r="D77" s="1">
        <v>170.0</v>
      </c>
      <c r="E77" s="1">
        <v>532.0</v>
      </c>
      <c r="F77" s="1"/>
      <c r="G77" s="1" t="s">
        <v>389</v>
      </c>
      <c r="H77" s="1" t="s">
        <v>190</v>
      </c>
      <c r="I77" s="1" t="s">
        <v>172</v>
      </c>
      <c r="J77" s="1" t="s">
        <v>337</v>
      </c>
      <c r="K77" s="1" t="s">
        <v>184</v>
      </c>
      <c r="L77" s="1"/>
      <c r="M77" s="1" t="s">
        <v>191</v>
      </c>
      <c r="N77" s="6">
        <f>IFERROR(__xludf.DUMMYFUNCTION("IF(REGEXMATCH(A77, ""^00-""), 0, IF(AND(EQ(F77, """"), EQ(G77, """")), 1, 0))"),0.0)</f>
        <v>0</v>
      </c>
      <c r="O77" s="6">
        <f>IFERROR(__xludf.DUMMYFUNCTION("IF(REGEXMATCH(A77, ""^00-""), 0, IF(AND(NE(F77, """"), EQ(G77, """")), 1, 0))"),0.0)</f>
        <v>0</v>
      </c>
      <c r="P77" s="6">
        <f>IFERROR(__xludf.DUMMYFUNCTION("IF(REGEXMATCH(A77, ""^00-""), 0, IF(AND(EQ(F77, """"), NE(G77, """")), 1, 0))"),1.0)</f>
        <v>1</v>
      </c>
      <c r="Q77" s="6">
        <f>IFERROR(__xludf.DUMMYFUNCTION("IF(REGEXMATCH(A77, ""^00-""), 0, IF(AND(NE(F77, """"), NE(G77, """")), 1, 0))"),0.0)</f>
        <v>0</v>
      </c>
      <c r="R77" s="6">
        <f t="shared" si="1"/>
        <v>1</v>
      </c>
    </row>
    <row r="78">
      <c r="A78" s="1" t="s">
        <v>14</v>
      </c>
      <c r="B78" s="1" t="s">
        <v>390</v>
      </c>
      <c r="C78" s="1">
        <v>525.0</v>
      </c>
      <c r="D78" s="1">
        <v>7.0</v>
      </c>
      <c r="E78" s="1">
        <v>532.0</v>
      </c>
      <c r="F78" s="1" t="s">
        <v>391</v>
      </c>
      <c r="G78" s="1" t="s">
        <v>392</v>
      </c>
      <c r="H78" s="1" t="s">
        <v>190</v>
      </c>
      <c r="I78" s="1" t="s">
        <v>172</v>
      </c>
      <c r="J78" s="1" t="s">
        <v>337</v>
      </c>
      <c r="K78" s="1" t="s">
        <v>184</v>
      </c>
      <c r="L78" s="1"/>
      <c r="M78" s="1" t="s">
        <v>191</v>
      </c>
      <c r="N78" s="6">
        <f>IFERROR(__xludf.DUMMYFUNCTION("IF(REGEXMATCH(A78, ""^00-""), 0, IF(AND(EQ(F78, """"), EQ(G78, """")), 1, 0))"),0.0)</f>
        <v>0</v>
      </c>
      <c r="O78" s="6">
        <f>IFERROR(__xludf.DUMMYFUNCTION("IF(REGEXMATCH(A78, ""^00-""), 0, IF(AND(NE(F78, """"), EQ(G78, """")), 1, 0))"),0.0)</f>
        <v>0</v>
      </c>
      <c r="P78" s="6">
        <f>IFERROR(__xludf.DUMMYFUNCTION("IF(REGEXMATCH(A78, ""^00-""), 0, IF(AND(EQ(F78, """"), NE(G78, """")), 1, 0))"),0.0)</f>
        <v>0</v>
      </c>
      <c r="Q78" s="6">
        <f>IFERROR(__xludf.DUMMYFUNCTION("IF(REGEXMATCH(A78, ""^00-""), 0, IF(AND(NE(F78, """"), NE(G78, """")), 1, 0))"),1.0)</f>
        <v>1</v>
      </c>
      <c r="R78" s="6">
        <f t="shared" si="1"/>
        <v>1</v>
      </c>
    </row>
    <row r="79">
      <c r="A79" s="1" t="s">
        <v>14</v>
      </c>
      <c r="B79" s="1" t="s">
        <v>393</v>
      </c>
      <c r="C79" s="1">
        <v>519.0</v>
      </c>
      <c r="D79" s="1">
        <v>13.0</v>
      </c>
      <c r="E79" s="1">
        <v>532.0</v>
      </c>
      <c r="F79" s="1" t="s">
        <v>394</v>
      </c>
      <c r="G79" s="1" t="s">
        <v>395</v>
      </c>
      <c r="H79" s="1" t="s">
        <v>190</v>
      </c>
      <c r="I79" s="1" t="s">
        <v>172</v>
      </c>
      <c r="J79" s="1" t="s">
        <v>337</v>
      </c>
      <c r="K79" s="1" t="s">
        <v>184</v>
      </c>
      <c r="L79" s="1"/>
      <c r="M79" s="1" t="s">
        <v>191</v>
      </c>
      <c r="N79" s="6">
        <f>IFERROR(__xludf.DUMMYFUNCTION("IF(REGEXMATCH(A79, ""^00-""), 0, IF(AND(EQ(F79, """"), EQ(G79, """")), 1, 0))"),0.0)</f>
        <v>0</v>
      </c>
      <c r="O79" s="6">
        <f>IFERROR(__xludf.DUMMYFUNCTION("IF(REGEXMATCH(A79, ""^00-""), 0, IF(AND(NE(F79, """"), EQ(G79, """")), 1, 0))"),0.0)</f>
        <v>0</v>
      </c>
      <c r="P79" s="6">
        <f>IFERROR(__xludf.DUMMYFUNCTION("IF(REGEXMATCH(A79, ""^00-""), 0, IF(AND(EQ(F79, """"), NE(G79, """")), 1, 0))"),0.0)</f>
        <v>0</v>
      </c>
      <c r="Q79" s="6">
        <f>IFERROR(__xludf.DUMMYFUNCTION("IF(REGEXMATCH(A79, ""^00-""), 0, IF(AND(NE(F79, """"), NE(G79, """")), 1, 0))"),1.0)</f>
        <v>1</v>
      </c>
      <c r="R79" s="6">
        <f t="shared" si="1"/>
        <v>1</v>
      </c>
    </row>
    <row r="80">
      <c r="A80" s="1" t="s">
        <v>14</v>
      </c>
      <c r="B80" s="1" t="s">
        <v>396</v>
      </c>
      <c r="C80" s="1">
        <v>430.0</v>
      </c>
      <c r="D80" s="1">
        <v>102.0</v>
      </c>
      <c r="E80" s="1">
        <v>532.0</v>
      </c>
      <c r="F80" s="1" t="s">
        <v>397</v>
      </c>
      <c r="G80" s="1" t="s">
        <v>398</v>
      </c>
      <c r="H80" s="1" t="s">
        <v>190</v>
      </c>
      <c r="I80" s="1" t="s">
        <v>172</v>
      </c>
      <c r="J80" s="1" t="s">
        <v>337</v>
      </c>
      <c r="K80" s="1" t="s">
        <v>184</v>
      </c>
      <c r="L80" s="1"/>
      <c r="M80" s="1" t="s">
        <v>191</v>
      </c>
      <c r="N80" s="6">
        <f>IFERROR(__xludf.DUMMYFUNCTION("IF(REGEXMATCH(A80, ""^00-""), 0, IF(AND(EQ(F80, """"), EQ(G80, """")), 1, 0))"),0.0)</f>
        <v>0</v>
      </c>
      <c r="O80" s="6">
        <f>IFERROR(__xludf.DUMMYFUNCTION("IF(REGEXMATCH(A80, ""^00-""), 0, IF(AND(NE(F80, """"), EQ(G80, """")), 1, 0))"),0.0)</f>
        <v>0</v>
      </c>
      <c r="P80" s="6">
        <f>IFERROR(__xludf.DUMMYFUNCTION("IF(REGEXMATCH(A80, ""^00-""), 0, IF(AND(EQ(F80, """"), NE(G80, """")), 1, 0))"),0.0)</f>
        <v>0</v>
      </c>
      <c r="Q80" s="6">
        <f>IFERROR(__xludf.DUMMYFUNCTION("IF(REGEXMATCH(A80, ""^00-""), 0, IF(AND(NE(F80, """"), NE(G80, """")), 1, 0))"),1.0)</f>
        <v>1</v>
      </c>
      <c r="R80" s="6">
        <f t="shared" si="1"/>
        <v>1</v>
      </c>
    </row>
    <row r="81">
      <c r="A81" s="1" t="s">
        <v>14</v>
      </c>
      <c r="B81" s="1" t="s">
        <v>399</v>
      </c>
      <c r="C81" s="1">
        <v>240.0</v>
      </c>
      <c r="D81" s="1">
        <v>292.0</v>
      </c>
      <c r="E81" s="1">
        <v>532.0</v>
      </c>
      <c r="F81" s="1" t="s">
        <v>400</v>
      </c>
      <c r="G81" s="1" t="s">
        <v>401</v>
      </c>
      <c r="H81" s="1" t="s">
        <v>190</v>
      </c>
      <c r="I81" s="1" t="s">
        <v>172</v>
      </c>
      <c r="J81" s="1" t="s">
        <v>337</v>
      </c>
      <c r="K81" s="1" t="s">
        <v>184</v>
      </c>
      <c r="L81" s="1"/>
      <c r="M81" s="1" t="s">
        <v>191</v>
      </c>
      <c r="N81" s="6">
        <f>IFERROR(__xludf.DUMMYFUNCTION("IF(REGEXMATCH(A81, ""^00-""), 0, IF(AND(EQ(F81, """"), EQ(G81, """")), 1, 0))"),0.0)</f>
        <v>0</v>
      </c>
      <c r="O81" s="6">
        <f>IFERROR(__xludf.DUMMYFUNCTION("IF(REGEXMATCH(A81, ""^00-""), 0, IF(AND(NE(F81, """"), EQ(G81, """")), 1, 0))"),0.0)</f>
        <v>0</v>
      </c>
      <c r="P81" s="6">
        <f>IFERROR(__xludf.DUMMYFUNCTION("IF(REGEXMATCH(A81, ""^00-""), 0, IF(AND(EQ(F81, """"), NE(G81, """")), 1, 0))"),0.0)</f>
        <v>0</v>
      </c>
      <c r="Q81" s="6">
        <f>IFERROR(__xludf.DUMMYFUNCTION("IF(REGEXMATCH(A81, ""^00-""), 0, IF(AND(NE(F81, """"), NE(G81, """")), 1, 0))"),1.0)</f>
        <v>1</v>
      </c>
      <c r="R81" s="6">
        <f t="shared" si="1"/>
        <v>1</v>
      </c>
    </row>
    <row r="82">
      <c r="A82" s="1" t="s">
        <v>14</v>
      </c>
      <c r="B82" s="1" t="s">
        <v>402</v>
      </c>
      <c r="C82" s="1">
        <v>506.0</v>
      </c>
      <c r="D82" s="1">
        <v>26.0</v>
      </c>
      <c r="E82" s="1">
        <v>532.0</v>
      </c>
      <c r="F82" s="1" t="s">
        <v>403</v>
      </c>
      <c r="G82" s="1" t="s">
        <v>404</v>
      </c>
      <c r="H82" s="1" t="s">
        <v>190</v>
      </c>
      <c r="I82" s="1" t="s">
        <v>172</v>
      </c>
      <c r="J82" s="1" t="s">
        <v>337</v>
      </c>
      <c r="K82" s="1" t="s">
        <v>184</v>
      </c>
      <c r="L82" s="1"/>
      <c r="M82" s="1" t="s">
        <v>191</v>
      </c>
      <c r="N82" s="6">
        <f>IFERROR(__xludf.DUMMYFUNCTION("IF(REGEXMATCH(A82, ""^00-""), 0, IF(AND(EQ(F82, """"), EQ(G82, """")), 1, 0))"),0.0)</f>
        <v>0</v>
      </c>
      <c r="O82" s="6">
        <f>IFERROR(__xludf.DUMMYFUNCTION("IF(REGEXMATCH(A82, ""^00-""), 0, IF(AND(NE(F82, """"), EQ(G82, """")), 1, 0))"),0.0)</f>
        <v>0</v>
      </c>
      <c r="P82" s="6">
        <f>IFERROR(__xludf.DUMMYFUNCTION("IF(REGEXMATCH(A82, ""^00-""), 0, IF(AND(EQ(F82, """"), NE(G82, """")), 1, 0))"),0.0)</f>
        <v>0</v>
      </c>
      <c r="Q82" s="6">
        <f>IFERROR(__xludf.DUMMYFUNCTION("IF(REGEXMATCH(A82, ""^00-""), 0, IF(AND(NE(F82, """"), NE(G82, """")), 1, 0))"),1.0)</f>
        <v>1</v>
      </c>
      <c r="R82" s="6">
        <f t="shared" si="1"/>
        <v>1</v>
      </c>
    </row>
    <row r="83">
      <c r="A83" s="1" t="s">
        <v>14</v>
      </c>
      <c r="B83" s="1" t="s">
        <v>405</v>
      </c>
      <c r="C83" s="1">
        <v>126.0</v>
      </c>
      <c r="D83" s="1">
        <v>406.0</v>
      </c>
      <c r="E83" s="1">
        <v>532.0</v>
      </c>
      <c r="F83" s="1" t="s">
        <v>406</v>
      </c>
      <c r="G83" s="1" t="s">
        <v>407</v>
      </c>
      <c r="H83" s="1" t="s">
        <v>235</v>
      </c>
      <c r="I83" s="1" t="s">
        <v>172</v>
      </c>
      <c r="J83" s="1" t="s">
        <v>337</v>
      </c>
      <c r="K83" s="1" t="s">
        <v>184</v>
      </c>
      <c r="L83" s="1"/>
      <c r="M83" s="1" t="s">
        <v>408</v>
      </c>
      <c r="N83" s="6">
        <f>IFERROR(__xludf.DUMMYFUNCTION("IF(REGEXMATCH(A83, ""^00-""), 0, IF(AND(EQ(F83, """"), EQ(G83, """")), 1, 0))"),0.0)</f>
        <v>0</v>
      </c>
      <c r="O83" s="6">
        <f>IFERROR(__xludf.DUMMYFUNCTION("IF(REGEXMATCH(A83, ""^00-""), 0, IF(AND(NE(F83, """"), EQ(G83, """")), 1, 0))"),0.0)</f>
        <v>0</v>
      </c>
      <c r="P83" s="6">
        <f>IFERROR(__xludf.DUMMYFUNCTION("IF(REGEXMATCH(A83, ""^00-""), 0, IF(AND(EQ(F83, """"), NE(G83, """")), 1, 0))"),0.0)</f>
        <v>0</v>
      </c>
      <c r="Q83" s="6">
        <f>IFERROR(__xludf.DUMMYFUNCTION("IF(REGEXMATCH(A83, ""^00-""), 0, IF(AND(NE(F83, """"), NE(G83, """")), 1, 0))"),1.0)</f>
        <v>1</v>
      </c>
      <c r="R83" s="6">
        <f t="shared" si="1"/>
        <v>1</v>
      </c>
    </row>
    <row r="84">
      <c r="A84" s="1" t="s">
        <v>14</v>
      </c>
      <c r="B84" s="1" t="s">
        <v>409</v>
      </c>
      <c r="C84" s="1">
        <v>364.0</v>
      </c>
      <c r="D84" s="1">
        <v>168.0</v>
      </c>
      <c r="E84" s="1">
        <v>532.0</v>
      </c>
      <c r="F84" s="1"/>
      <c r="G84" s="1" t="s">
        <v>410</v>
      </c>
      <c r="H84" s="1" t="s">
        <v>190</v>
      </c>
      <c r="I84" s="1" t="s">
        <v>172</v>
      </c>
      <c r="J84" s="1" t="s">
        <v>337</v>
      </c>
      <c r="K84" s="1" t="s">
        <v>184</v>
      </c>
      <c r="L84" s="1"/>
      <c r="M84" s="1" t="s">
        <v>191</v>
      </c>
      <c r="N84" s="6">
        <f>IFERROR(__xludf.DUMMYFUNCTION("IF(REGEXMATCH(A84, ""^00-""), 0, IF(AND(EQ(F84, """"), EQ(G84, """")), 1, 0))"),0.0)</f>
        <v>0</v>
      </c>
      <c r="O84" s="6">
        <f>IFERROR(__xludf.DUMMYFUNCTION("IF(REGEXMATCH(A84, ""^00-""), 0, IF(AND(NE(F84, """"), EQ(G84, """")), 1, 0))"),0.0)</f>
        <v>0</v>
      </c>
      <c r="P84" s="6">
        <f>IFERROR(__xludf.DUMMYFUNCTION("IF(REGEXMATCH(A84, ""^00-""), 0, IF(AND(EQ(F84, """"), NE(G84, """")), 1, 0))"),1.0)</f>
        <v>1</v>
      </c>
      <c r="Q84" s="6">
        <f>IFERROR(__xludf.DUMMYFUNCTION("IF(REGEXMATCH(A84, ""^00-""), 0, IF(AND(NE(F84, """"), NE(G84, """")), 1, 0))"),0.0)</f>
        <v>0</v>
      </c>
      <c r="R84" s="6">
        <f t="shared" si="1"/>
        <v>1</v>
      </c>
    </row>
    <row r="85">
      <c r="A85" s="1" t="s">
        <v>19</v>
      </c>
      <c r="B85" s="1" t="s">
        <v>411</v>
      </c>
      <c r="C85" s="1">
        <v>532.0</v>
      </c>
      <c r="D85" s="1">
        <v>0.0</v>
      </c>
      <c r="E85" s="1">
        <v>532.0</v>
      </c>
      <c r="F85" s="1" t="s">
        <v>412</v>
      </c>
      <c r="G85" s="1" t="s">
        <v>413</v>
      </c>
      <c r="H85" s="1" t="s">
        <v>269</v>
      </c>
      <c r="I85" s="1" t="s">
        <v>172</v>
      </c>
      <c r="J85" s="1" t="s">
        <v>414</v>
      </c>
      <c r="K85" s="1" t="s">
        <v>184</v>
      </c>
      <c r="L85" s="1"/>
      <c r="M85" s="1" t="s">
        <v>411</v>
      </c>
      <c r="N85" s="6">
        <f>IFERROR(__xludf.DUMMYFUNCTION("IF(REGEXMATCH(A85, ""^00-""), 0, IF(AND(EQ(F85, """"), EQ(G85, """")), 1, 0))"),0.0)</f>
        <v>0</v>
      </c>
      <c r="O85" s="6">
        <f>IFERROR(__xludf.DUMMYFUNCTION("IF(REGEXMATCH(A85, ""^00-""), 0, IF(AND(NE(F85, """"), EQ(G85, """")), 1, 0))"),0.0)</f>
        <v>0</v>
      </c>
      <c r="P85" s="6">
        <f>IFERROR(__xludf.DUMMYFUNCTION("IF(REGEXMATCH(A85, ""^00-""), 0, IF(AND(EQ(F85, """"), NE(G85, """")), 1, 0))"),0.0)</f>
        <v>0</v>
      </c>
      <c r="Q85" s="6">
        <f>IFERROR(__xludf.DUMMYFUNCTION("IF(REGEXMATCH(A85, ""^00-""), 0, IF(AND(NE(F85, """"), NE(G85, """")), 1, 0))"),1.0)</f>
        <v>1</v>
      </c>
      <c r="R85" s="6">
        <f t="shared" si="1"/>
        <v>1</v>
      </c>
    </row>
    <row r="86">
      <c r="A86" s="1" t="s">
        <v>19</v>
      </c>
      <c r="B86" s="1" t="s">
        <v>415</v>
      </c>
      <c r="C86" s="1">
        <v>168.0</v>
      </c>
      <c r="D86" s="1">
        <v>364.0</v>
      </c>
      <c r="E86" s="1">
        <v>532.0</v>
      </c>
      <c r="F86" s="1" t="s">
        <v>416</v>
      </c>
      <c r="G86" s="1"/>
      <c r="H86" s="1" t="s">
        <v>269</v>
      </c>
      <c r="I86" s="1" t="s">
        <v>172</v>
      </c>
      <c r="J86" s="1" t="s">
        <v>414</v>
      </c>
      <c r="K86" s="1" t="s">
        <v>184</v>
      </c>
      <c r="L86" s="1"/>
      <c r="M86" s="1" t="s">
        <v>417</v>
      </c>
      <c r="N86" s="6">
        <f>IFERROR(__xludf.DUMMYFUNCTION("IF(REGEXMATCH(A86, ""^00-""), 0, IF(AND(EQ(F86, """"), EQ(G86, """")), 1, 0))"),0.0)</f>
        <v>0</v>
      </c>
      <c r="O86" s="6">
        <f>IFERROR(__xludf.DUMMYFUNCTION("IF(REGEXMATCH(A86, ""^00-""), 0, IF(AND(NE(F86, """"), EQ(G86, """")), 1, 0))"),1.0)</f>
        <v>1</v>
      </c>
      <c r="P86" s="6">
        <f>IFERROR(__xludf.DUMMYFUNCTION("IF(REGEXMATCH(A86, ""^00-""), 0, IF(AND(EQ(F86, """"), NE(G86, """")), 1, 0))"),0.0)</f>
        <v>0</v>
      </c>
      <c r="Q86" s="6">
        <f>IFERROR(__xludf.DUMMYFUNCTION("IF(REGEXMATCH(A86, ""^00-""), 0, IF(AND(NE(F86, """"), NE(G86, """")), 1, 0))"),0.0)</f>
        <v>0</v>
      </c>
      <c r="R86" s="6">
        <f t="shared" si="1"/>
        <v>1</v>
      </c>
    </row>
    <row r="87">
      <c r="A87" s="1" t="s">
        <v>19</v>
      </c>
      <c r="B87" s="1" t="s">
        <v>418</v>
      </c>
      <c r="C87" s="1">
        <v>531.0</v>
      </c>
      <c r="D87" s="1">
        <v>1.0</v>
      </c>
      <c r="E87" s="1">
        <v>532.0</v>
      </c>
      <c r="F87" s="1" t="s">
        <v>419</v>
      </c>
      <c r="G87" s="1" t="s">
        <v>420</v>
      </c>
      <c r="H87" s="1" t="s">
        <v>182</v>
      </c>
      <c r="I87" s="1" t="s">
        <v>172</v>
      </c>
      <c r="J87" s="1" t="s">
        <v>414</v>
      </c>
      <c r="K87" s="1" t="s">
        <v>184</v>
      </c>
      <c r="L87" s="1"/>
      <c r="M87" s="1" t="s">
        <v>257</v>
      </c>
      <c r="N87" s="6">
        <f>IFERROR(__xludf.DUMMYFUNCTION("IF(REGEXMATCH(A87, ""^00-""), 0, IF(AND(EQ(F87, """"), EQ(G87, """")), 1, 0))"),0.0)</f>
        <v>0</v>
      </c>
      <c r="O87" s="6">
        <f>IFERROR(__xludf.DUMMYFUNCTION("IF(REGEXMATCH(A87, ""^00-""), 0, IF(AND(NE(F87, """"), EQ(G87, """")), 1, 0))"),0.0)</f>
        <v>0</v>
      </c>
      <c r="P87" s="6">
        <f>IFERROR(__xludf.DUMMYFUNCTION("IF(REGEXMATCH(A87, ""^00-""), 0, IF(AND(EQ(F87, """"), NE(G87, """")), 1, 0))"),0.0)</f>
        <v>0</v>
      </c>
      <c r="Q87" s="6">
        <f>IFERROR(__xludf.DUMMYFUNCTION("IF(REGEXMATCH(A87, ""^00-""), 0, IF(AND(NE(F87, """"), NE(G87, """")), 1, 0))"),1.0)</f>
        <v>1</v>
      </c>
      <c r="R87" s="6">
        <f t="shared" si="1"/>
        <v>1</v>
      </c>
    </row>
    <row r="88">
      <c r="A88" s="1" t="s">
        <v>19</v>
      </c>
      <c r="B88" s="1" t="s">
        <v>421</v>
      </c>
      <c r="C88" s="1">
        <v>506.0</v>
      </c>
      <c r="D88" s="1">
        <v>26.0</v>
      </c>
      <c r="E88" s="1">
        <v>532.0</v>
      </c>
      <c r="F88" s="1" t="s">
        <v>422</v>
      </c>
      <c r="G88" s="1" t="s">
        <v>423</v>
      </c>
      <c r="H88" s="1" t="s">
        <v>182</v>
      </c>
      <c r="I88" s="1" t="s">
        <v>172</v>
      </c>
      <c r="J88" s="1" t="s">
        <v>414</v>
      </c>
      <c r="K88" s="1" t="s">
        <v>184</v>
      </c>
      <c r="L88" s="1"/>
      <c r="M88" s="1" t="s">
        <v>257</v>
      </c>
      <c r="N88" s="6">
        <f>IFERROR(__xludf.DUMMYFUNCTION("IF(REGEXMATCH(A88, ""^00-""), 0, IF(AND(EQ(F88, """"), EQ(G88, """")), 1, 0))"),0.0)</f>
        <v>0</v>
      </c>
      <c r="O88" s="6">
        <f>IFERROR(__xludf.DUMMYFUNCTION("IF(REGEXMATCH(A88, ""^00-""), 0, IF(AND(NE(F88, """"), EQ(G88, """")), 1, 0))"),0.0)</f>
        <v>0</v>
      </c>
      <c r="P88" s="6">
        <f>IFERROR(__xludf.DUMMYFUNCTION("IF(REGEXMATCH(A88, ""^00-""), 0, IF(AND(EQ(F88, """"), NE(G88, """")), 1, 0))"),0.0)</f>
        <v>0</v>
      </c>
      <c r="Q88" s="6">
        <f>IFERROR(__xludf.DUMMYFUNCTION("IF(REGEXMATCH(A88, ""^00-""), 0, IF(AND(NE(F88, """"), NE(G88, """")), 1, 0))"),1.0)</f>
        <v>1</v>
      </c>
      <c r="R88" s="6">
        <f t="shared" si="1"/>
        <v>1</v>
      </c>
    </row>
    <row r="89">
      <c r="A89" s="1" t="s">
        <v>19</v>
      </c>
      <c r="B89" s="1" t="s">
        <v>424</v>
      </c>
      <c r="C89" s="1">
        <v>509.0</v>
      </c>
      <c r="D89" s="1">
        <v>23.0</v>
      </c>
      <c r="E89" s="1">
        <v>532.0</v>
      </c>
      <c r="F89" s="1" t="s">
        <v>425</v>
      </c>
      <c r="G89" s="1" t="s">
        <v>426</v>
      </c>
      <c r="H89" s="1" t="s">
        <v>182</v>
      </c>
      <c r="I89" s="1" t="s">
        <v>172</v>
      </c>
      <c r="J89" s="1" t="s">
        <v>414</v>
      </c>
      <c r="K89" s="1" t="s">
        <v>184</v>
      </c>
      <c r="L89" s="1"/>
      <c r="M89" s="1" t="s">
        <v>257</v>
      </c>
      <c r="N89" s="6">
        <f>IFERROR(__xludf.DUMMYFUNCTION("IF(REGEXMATCH(A89, ""^00-""), 0, IF(AND(EQ(F89, """"), EQ(G89, """")), 1, 0))"),0.0)</f>
        <v>0</v>
      </c>
      <c r="O89" s="6">
        <f>IFERROR(__xludf.DUMMYFUNCTION("IF(REGEXMATCH(A89, ""^00-""), 0, IF(AND(NE(F89, """"), EQ(G89, """")), 1, 0))"),0.0)</f>
        <v>0</v>
      </c>
      <c r="P89" s="6">
        <f>IFERROR(__xludf.DUMMYFUNCTION("IF(REGEXMATCH(A89, ""^00-""), 0, IF(AND(EQ(F89, """"), NE(G89, """")), 1, 0))"),0.0)</f>
        <v>0</v>
      </c>
      <c r="Q89" s="6">
        <f>IFERROR(__xludf.DUMMYFUNCTION("IF(REGEXMATCH(A89, ""^00-""), 0, IF(AND(NE(F89, """"), NE(G89, """")), 1, 0))"),1.0)</f>
        <v>1</v>
      </c>
      <c r="R89" s="6">
        <f t="shared" si="1"/>
        <v>1</v>
      </c>
    </row>
    <row r="90">
      <c r="A90" s="1" t="s">
        <v>19</v>
      </c>
      <c r="B90" s="1" t="s">
        <v>427</v>
      </c>
      <c r="C90" s="1">
        <v>531.0</v>
      </c>
      <c r="D90" s="1">
        <v>1.0</v>
      </c>
      <c r="E90" s="1">
        <v>532.0</v>
      </c>
      <c r="F90" s="1" t="s">
        <v>428</v>
      </c>
      <c r="G90" s="1" t="s">
        <v>429</v>
      </c>
      <c r="H90" s="1" t="s">
        <v>182</v>
      </c>
      <c r="I90" s="1" t="s">
        <v>172</v>
      </c>
      <c r="J90" s="1" t="s">
        <v>414</v>
      </c>
      <c r="K90" s="1" t="s">
        <v>184</v>
      </c>
      <c r="L90" s="1"/>
      <c r="M90" s="1" t="s">
        <v>185</v>
      </c>
      <c r="N90" s="6">
        <f>IFERROR(__xludf.DUMMYFUNCTION("IF(REGEXMATCH(A90, ""^00-""), 0, IF(AND(EQ(F90, """"), EQ(G90, """")), 1, 0))"),0.0)</f>
        <v>0</v>
      </c>
      <c r="O90" s="6">
        <f>IFERROR(__xludf.DUMMYFUNCTION("IF(REGEXMATCH(A90, ""^00-""), 0, IF(AND(NE(F90, """"), EQ(G90, """")), 1, 0))"),0.0)</f>
        <v>0</v>
      </c>
      <c r="P90" s="6">
        <f>IFERROR(__xludf.DUMMYFUNCTION("IF(REGEXMATCH(A90, ""^00-""), 0, IF(AND(EQ(F90, """"), NE(G90, """")), 1, 0))"),0.0)</f>
        <v>0</v>
      </c>
      <c r="Q90" s="6">
        <f>IFERROR(__xludf.DUMMYFUNCTION("IF(REGEXMATCH(A90, ""^00-""), 0, IF(AND(NE(F90, """"), NE(G90, """")), 1, 0))"),1.0)</f>
        <v>1</v>
      </c>
      <c r="R90" s="6">
        <f t="shared" si="1"/>
        <v>1</v>
      </c>
    </row>
    <row r="91">
      <c r="A91" s="1" t="s">
        <v>19</v>
      </c>
      <c r="B91" s="1" t="s">
        <v>430</v>
      </c>
      <c r="C91" s="1">
        <v>532.0</v>
      </c>
      <c r="D91" s="1">
        <v>0.0</v>
      </c>
      <c r="E91" s="1">
        <v>532.0</v>
      </c>
      <c r="F91" s="1" t="s">
        <v>431</v>
      </c>
      <c r="G91" s="1" t="s">
        <v>432</v>
      </c>
      <c r="H91" s="1" t="s">
        <v>269</v>
      </c>
      <c r="I91" s="1" t="s">
        <v>172</v>
      </c>
      <c r="J91" s="1" t="s">
        <v>414</v>
      </c>
      <c r="K91" s="1" t="s">
        <v>184</v>
      </c>
      <c r="L91" s="1"/>
      <c r="M91" s="1" t="s">
        <v>430</v>
      </c>
      <c r="N91" s="6">
        <f>IFERROR(__xludf.DUMMYFUNCTION("IF(REGEXMATCH(A91, ""^00-""), 0, IF(AND(EQ(F91, """"), EQ(G91, """")), 1, 0))"),0.0)</f>
        <v>0</v>
      </c>
      <c r="O91" s="6">
        <f>IFERROR(__xludf.DUMMYFUNCTION("IF(REGEXMATCH(A91, ""^00-""), 0, IF(AND(NE(F91, """"), EQ(G91, """")), 1, 0))"),0.0)</f>
        <v>0</v>
      </c>
      <c r="P91" s="6">
        <f>IFERROR(__xludf.DUMMYFUNCTION("IF(REGEXMATCH(A91, ""^00-""), 0, IF(AND(EQ(F91, """"), NE(G91, """")), 1, 0))"),0.0)</f>
        <v>0</v>
      </c>
      <c r="Q91" s="6">
        <f>IFERROR(__xludf.DUMMYFUNCTION("IF(REGEXMATCH(A91, ""^00-""), 0, IF(AND(NE(F91, """"), NE(G91, """")), 1, 0))"),1.0)</f>
        <v>1</v>
      </c>
      <c r="R91" s="6">
        <f t="shared" si="1"/>
        <v>1</v>
      </c>
    </row>
    <row r="92">
      <c r="A92" s="1" t="s">
        <v>19</v>
      </c>
      <c r="B92" s="1" t="s">
        <v>433</v>
      </c>
      <c r="C92" s="1">
        <v>364.0</v>
      </c>
      <c r="D92" s="1">
        <v>168.0</v>
      </c>
      <c r="E92" s="1">
        <v>532.0</v>
      </c>
      <c r="F92" s="1"/>
      <c r="G92" s="1" t="s">
        <v>434</v>
      </c>
      <c r="H92" s="1" t="s">
        <v>190</v>
      </c>
      <c r="I92" s="1" t="s">
        <v>172</v>
      </c>
      <c r="J92" s="1" t="s">
        <v>414</v>
      </c>
      <c r="K92" s="1" t="s">
        <v>184</v>
      </c>
      <c r="L92" s="1"/>
      <c r="M92" s="1" t="s">
        <v>191</v>
      </c>
      <c r="N92" s="6">
        <f>IFERROR(__xludf.DUMMYFUNCTION("IF(REGEXMATCH(A92, ""^00-""), 0, IF(AND(EQ(F92, """"), EQ(G92, """")), 1, 0))"),0.0)</f>
        <v>0</v>
      </c>
      <c r="O92" s="6">
        <f>IFERROR(__xludf.DUMMYFUNCTION("IF(REGEXMATCH(A92, ""^00-""), 0, IF(AND(NE(F92, """"), EQ(G92, """")), 1, 0))"),0.0)</f>
        <v>0</v>
      </c>
      <c r="P92" s="6">
        <f>IFERROR(__xludf.DUMMYFUNCTION("IF(REGEXMATCH(A92, ""^00-""), 0, IF(AND(EQ(F92, """"), NE(G92, """")), 1, 0))"),1.0)</f>
        <v>1</v>
      </c>
      <c r="Q92" s="6">
        <f>IFERROR(__xludf.DUMMYFUNCTION("IF(REGEXMATCH(A92, ""^00-""), 0, IF(AND(NE(F92, """"), NE(G92, """")), 1, 0))"),0.0)</f>
        <v>0</v>
      </c>
      <c r="R92" s="6">
        <f t="shared" si="1"/>
        <v>1</v>
      </c>
    </row>
    <row r="93">
      <c r="A93" s="1" t="s">
        <v>19</v>
      </c>
      <c r="B93" s="1" t="s">
        <v>435</v>
      </c>
      <c r="C93" s="1">
        <v>532.0</v>
      </c>
      <c r="D93" s="1">
        <v>0.0</v>
      </c>
      <c r="E93" s="1">
        <v>532.0</v>
      </c>
      <c r="F93" s="1" t="s">
        <v>436</v>
      </c>
      <c r="G93" s="1" t="s">
        <v>437</v>
      </c>
      <c r="H93" s="1" t="s">
        <v>190</v>
      </c>
      <c r="I93" s="1" t="s">
        <v>172</v>
      </c>
      <c r="J93" s="1" t="s">
        <v>414</v>
      </c>
      <c r="K93" s="1" t="s">
        <v>184</v>
      </c>
      <c r="L93" s="1"/>
      <c r="M93" s="1" t="s">
        <v>191</v>
      </c>
      <c r="N93" s="6">
        <f>IFERROR(__xludf.DUMMYFUNCTION("IF(REGEXMATCH(A93, ""^00-""), 0, IF(AND(EQ(F93, """"), EQ(G93, """")), 1, 0))"),0.0)</f>
        <v>0</v>
      </c>
      <c r="O93" s="6">
        <f>IFERROR(__xludf.DUMMYFUNCTION("IF(REGEXMATCH(A93, ""^00-""), 0, IF(AND(NE(F93, """"), EQ(G93, """")), 1, 0))"),0.0)</f>
        <v>0</v>
      </c>
      <c r="P93" s="6">
        <f>IFERROR(__xludf.DUMMYFUNCTION("IF(REGEXMATCH(A93, ""^00-""), 0, IF(AND(EQ(F93, """"), NE(G93, """")), 1, 0))"),0.0)</f>
        <v>0</v>
      </c>
      <c r="Q93" s="6">
        <f>IFERROR(__xludf.DUMMYFUNCTION("IF(REGEXMATCH(A93, ""^00-""), 0, IF(AND(NE(F93, """"), NE(G93, """")), 1, 0))"),1.0)</f>
        <v>1</v>
      </c>
      <c r="R93" s="6">
        <f t="shared" si="1"/>
        <v>1</v>
      </c>
    </row>
    <row r="94">
      <c r="A94" s="1" t="s">
        <v>19</v>
      </c>
      <c r="B94" s="1" t="s">
        <v>438</v>
      </c>
      <c r="C94" s="1">
        <v>380.0</v>
      </c>
      <c r="D94" s="1">
        <v>152.0</v>
      </c>
      <c r="E94" s="1">
        <v>532.0</v>
      </c>
      <c r="F94" s="1" t="s">
        <v>439</v>
      </c>
      <c r="G94" s="1" t="s">
        <v>440</v>
      </c>
      <c r="H94" s="1" t="s">
        <v>190</v>
      </c>
      <c r="I94" s="1" t="s">
        <v>172</v>
      </c>
      <c r="J94" s="1" t="s">
        <v>414</v>
      </c>
      <c r="K94" s="1" t="s">
        <v>184</v>
      </c>
      <c r="L94" s="1"/>
      <c r="M94" s="1" t="s">
        <v>191</v>
      </c>
      <c r="N94" s="6">
        <f>IFERROR(__xludf.DUMMYFUNCTION("IF(REGEXMATCH(A94, ""^00-""), 0, IF(AND(EQ(F94, """"), EQ(G94, """")), 1, 0))"),0.0)</f>
        <v>0</v>
      </c>
      <c r="O94" s="6">
        <f>IFERROR(__xludf.DUMMYFUNCTION("IF(REGEXMATCH(A94, ""^00-""), 0, IF(AND(NE(F94, """"), EQ(G94, """")), 1, 0))"),0.0)</f>
        <v>0</v>
      </c>
      <c r="P94" s="6">
        <f>IFERROR(__xludf.DUMMYFUNCTION("IF(REGEXMATCH(A94, ""^00-""), 0, IF(AND(EQ(F94, """"), NE(G94, """")), 1, 0))"),0.0)</f>
        <v>0</v>
      </c>
      <c r="Q94" s="6">
        <f>IFERROR(__xludf.DUMMYFUNCTION("IF(REGEXMATCH(A94, ""^00-""), 0, IF(AND(NE(F94, """"), NE(G94, """")), 1, 0))"),1.0)</f>
        <v>1</v>
      </c>
      <c r="R94" s="6">
        <f t="shared" si="1"/>
        <v>1</v>
      </c>
    </row>
    <row r="95">
      <c r="A95" s="1" t="s">
        <v>19</v>
      </c>
      <c r="B95" s="1" t="s">
        <v>441</v>
      </c>
      <c r="C95" s="1">
        <v>380.0</v>
      </c>
      <c r="D95" s="1">
        <v>152.0</v>
      </c>
      <c r="E95" s="1">
        <v>532.0</v>
      </c>
      <c r="F95" s="1" t="s">
        <v>442</v>
      </c>
      <c r="G95" s="1" t="s">
        <v>443</v>
      </c>
      <c r="H95" s="1" t="s">
        <v>190</v>
      </c>
      <c r="I95" s="1" t="s">
        <v>172</v>
      </c>
      <c r="J95" s="1" t="s">
        <v>414</v>
      </c>
      <c r="K95" s="1" t="s">
        <v>184</v>
      </c>
      <c r="L95" s="1"/>
      <c r="M95" s="1" t="s">
        <v>191</v>
      </c>
      <c r="N95" s="6">
        <f>IFERROR(__xludf.DUMMYFUNCTION("IF(REGEXMATCH(A95, ""^00-""), 0, IF(AND(EQ(F95, """"), EQ(G95, """")), 1, 0))"),0.0)</f>
        <v>0</v>
      </c>
      <c r="O95" s="6">
        <f>IFERROR(__xludf.DUMMYFUNCTION("IF(REGEXMATCH(A95, ""^00-""), 0, IF(AND(NE(F95, """"), EQ(G95, """")), 1, 0))"),0.0)</f>
        <v>0</v>
      </c>
      <c r="P95" s="6">
        <f>IFERROR(__xludf.DUMMYFUNCTION("IF(REGEXMATCH(A95, ""^00-""), 0, IF(AND(EQ(F95, """"), NE(G95, """")), 1, 0))"),0.0)</f>
        <v>0</v>
      </c>
      <c r="Q95" s="6">
        <f>IFERROR(__xludf.DUMMYFUNCTION("IF(REGEXMATCH(A95, ""^00-""), 0, IF(AND(NE(F95, """"), NE(G95, """")), 1, 0))"),1.0)</f>
        <v>1</v>
      </c>
      <c r="R95" s="6">
        <f t="shared" si="1"/>
        <v>1</v>
      </c>
    </row>
    <row r="96">
      <c r="A96" s="1" t="s">
        <v>19</v>
      </c>
      <c r="B96" s="1" t="s">
        <v>444</v>
      </c>
      <c r="C96" s="1">
        <v>380.0</v>
      </c>
      <c r="D96" s="1">
        <v>152.0</v>
      </c>
      <c r="E96" s="1">
        <v>532.0</v>
      </c>
      <c r="F96" s="1" t="s">
        <v>445</v>
      </c>
      <c r="G96" s="1" t="s">
        <v>446</v>
      </c>
      <c r="H96" s="1" t="s">
        <v>250</v>
      </c>
      <c r="I96" s="1" t="s">
        <v>172</v>
      </c>
      <c r="J96" s="1" t="s">
        <v>414</v>
      </c>
      <c r="K96" s="1" t="s">
        <v>184</v>
      </c>
      <c r="L96" s="1"/>
      <c r="M96" s="1" t="s">
        <v>250</v>
      </c>
      <c r="N96" s="6">
        <f>IFERROR(__xludf.DUMMYFUNCTION("IF(REGEXMATCH(A96, ""^00-""), 0, IF(AND(EQ(F96, """"), EQ(G96, """")), 1, 0))"),0.0)</f>
        <v>0</v>
      </c>
      <c r="O96" s="6">
        <f>IFERROR(__xludf.DUMMYFUNCTION("IF(REGEXMATCH(A96, ""^00-""), 0, IF(AND(NE(F96, """"), EQ(G96, """")), 1, 0))"),0.0)</f>
        <v>0</v>
      </c>
      <c r="P96" s="6">
        <f>IFERROR(__xludf.DUMMYFUNCTION("IF(REGEXMATCH(A96, ""^00-""), 0, IF(AND(EQ(F96, """"), NE(G96, """")), 1, 0))"),0.0)</f>
        <v>0</v>
      </c>
      <c r="Q96" s="6">
        <f>IFERROR(__xludf.DUMMYFUNCTION("IF(REGEXMATCH(A96, ""^00-""), 0, IF(AND(NE(F96, """"), NE(G96, """")), 1, 0))"),1.0)</f>
        <v>1</v>
      </c>
      <c r="R96" s="6">
        <f t="shared" si="1"/>
        <v>1</v>
      </c>
    </row>
    <row r="97">
      <c r="A97" s="1" t="s">
        <v>19</v>
      </c>
      <c r="B97" s="1" t="s">
        <v>447</v>
      </c>
      <c r="C97" s="1">
        <v>377.0</v>
      </c>
      <c r="D97" s="1">
        <v>155.0</v>
      </c>
      <c r="E97" s="1">
        <v>532.0</v>
      </c>
      <c r="F97" s="1" t="s">
        <v>448</v>
      </c>
      <c r="G97" s="1" t="s">
        <v>449</v>
      </c>
      <c r="H97" s="1" t="s">
        <v>254</v>
      </c>
      <c r="I97" s="1" t="s">
        <v>172</v>
      </c>
      <c r="J97" s="1" t="s">
        <v>414</v>
      </c>
      <c r="K97" s="1" t="s">
        <v>184</v>
      </c>
      <c r="L97" s="1"/>
      <c r="M97" s="1" t="s">
        <v>254</v>
      </c>
      <c r="N97" s="6">
        <f>IFERROR(__xludf.DUMMYFUNCTION("IF(REGEXMATCH(A97, ""^00-""), 0, IF(AND(EQ(F97, """"), EQ(G97, """")), 1, 0))"),0.0)</f>
        <v>0</v>
      </c>
      <c r="O97" s="6">
        <f>IFERROR(__xludf.DUMMYFUNCTION("IF(REGEXMATCH(A97, ""^00-""), 0, IF(AND(NE(F97, """"), EQ(G97, """")), 1, 0))"),0.0)</f>
        <v>0</v>
      </c>
      <c r="P97" s="6">
        <f>IFERROR(__xludf.DUMMYFUNCTION("IF(REGEXMATCH(A97, ""^00-""), 0, IF(AND(EQ(F97, """"), NE(G97, """")), 1, 0))"),0.0)</f>
        <v>0</v>
      </c>
      <c r="Q97" s="6">
        <f>IFERROR(__xludf.DUMMYFUNCTION("IF(REGEXMATCH(A97, ""^00-""), 0, IF(AND(NE(F97, """"), NE(G97, """")), 1, 0))"),1.0)</f>
        <v>1</v>
      </c>
      <c r="R97" s="6">
        <f t="shared" si="1"/>
        <v>1</v>
      </c>
    </row>
    <row r="98">
      <c r="A98" s="1" t="s">
        <v>19</v>
      </c>
      <c r="B98" s="1" t="s">
        <v>450</v>
      </c>
      <c r="C98" s="1">
        <v>528.0</v>
      </c>
      <c r="D98" s="1">
        <v>4.0</v>
      </c>
      <c r="E98" s="1">
        <v>532.0</v>
      </c>
      <c r="F98" s="1" t="s">
        <v>451</v>
      </c>
      <c r="G98" s="1" t="s">
        <v>452</v>
      </c>
      <c r="H98" s="1" t="s">
        <v>182</v>
      </c>
      <c r="I98" s="1" t="s">
        <v>172</v>
      </c>
      <c r="J98" s="1" t="s">
        <v>414</v>
      </c>
      <c r="K98" s="1" t="s">
        <v>184</v>
      </c>
      <c r="L98" s="1"/>
      <c r="M98" s="1" t="s">
        <v>185</v>
      </c>
      <c r="N98" s="6">
        <f>IFERROR(__xludf.DUMMYFUNCTION("IF(REGEXMATCH(A98, ""^00-""), 0, IF(AND(EQ(F98, """"), EQ(G98, """")), 1, 0))"),0.0)</f>
        <v>0</v>
      </c>
      <c r="O98" s="6">
        <f>IFERROR(__xludf.DUMMYFUNCTION("IF(REGEXMATCH(A98, ""^00-""), 0, IF(AND(NE(F98, """"), EQ(G98, """")), 1, 0))"),0.0)</f>
        <v>0</v>
      </c>
      <c r="P98" s="6">
        <f>IFERROR(__xludf.DUMMYFUNCTION("IF(REGEXMATCH(A98, ""^00-""), 0, IF(AND(EQ(F98, """"), NE(G98, """")), 1, 0))"),0.0)</f>
        <v>0</v>
      </c>
      <c r="Q98" s="6">
        <f>IFERROR(__xludf.DUMMYFUNCTION("IF(REGEXMATCH(A98, ""^00-""), 0, IF(AND(NE(F98, """"), NE(G98, """")), 1, 0))"),1.0)</f>
        <v>1</v>
      </c>
      <c r="R98" s="6">
        <f t="shared" si="1"/>
        <v>1</v>
      </c>
    </row>
    <row r="99">
      <c r="A99" s="1" t="s">
        <v>19</v>
      </c>
      <c r="B99" s="1" t="s">
        <v>453</v>
      </c>
      <c r="C99" s="1">
        <v>529.0</v>
      </c>
      <c r="D99" s="1">
        <v>3.0</v>
      </c>
      <c r="E99" s="1">
        <v>532.0</v>
      </c>
      <c r="F99" s="1" t="s">
        <v>454</v>
      </c>
      <c r="G99" s="1" t="s">
        <v>455</v>
      </c>
      <c r="H99" s="1" t="s">
        <v>182</v>
      </c>
      <c r="I99" s="1" t="s">
        <v>172</v>
      </c>
      <c r="J99" s="1" t="s">
        <v>414</v>
      </c>
      <c r="K99" s="1" t="s">
        <v>184</v>
      </c>
      <c r="L99" s="1"/>
      <c r="M99" s="1" t="s">
        <v>185</v>
      </c>
      <c r="N99" s="6">
        <f>IFERROR(__xludf.DUMMYFUNCTION("IF(REGEXMATCH(A99, ""^00-""), 0, IF(AND(EQ(F99, """"), EQ(G99, """")), 1, 0))"),0.0)</f>
        <v>0</v>
      </c>
      <c r="O99" s="6">
        <f>IFERROR(__xludf.DUMMYFUNCTION("IF(REGEXMATCH(A99, ""^00-""), 0, IF(AND(NE(F99, """"), EQ(G99, """")), 1, 0))"),0.0)</f>
        <v>0</v>
      </c>
      <c r="P99" s="6">
        <f>IFERROR(__xludf.DUMMYFUNCTION("IF(REGEXMATCH(A99, ""^00-""), 0, IF(AND(EQ(F99, """"), NE(G99, """")), 1, 0))"),0.0)</f>
        <v>0</v>
      </c>
      <c r="Q99" s="6">
        <f>IFERROR(__xludf.DUMMYFUNCTION("IF(REGEXMATCH(A99, ""^00-""), 0, IF(AND(NE(F99, """"), NE(G99, """")), 1, 0))"),1.0)</f>
        <v>1</v>
      </c>
      <c r="R99" s="6">
        <f t="shared" si="1"/>
        <v>1</v>
      </c>
    </row>
    <row r="100">
      <c r="A100" s="1" t="s">
        <v>19</v>
      </c>
      <c r="B100" s="1" t="s">
        <v>456</v>
      </c>
      <c r="C100" s="1">
        <v>464.0</v>
      </c>
      <c r="D100" s="1">
        <v>68.0</v>
      </c>
      <c r="E100" s="1">
        <v>532.0</v>
      </c>
      <c r="F100" s="1" t="s">
        <v>457</v>
      </c>
      <c r="G100" s="1" t="s">
        <v>458</v>
      </c>
      <c r="H100" s="1" t="s">
        <v>182</v>
      </c>
      <c r="I100" s="1" t="s">
        <v>172</v>
      </c>
      <c r="J100" s="1" t="s">
        <v>414</v>
      </c>
      <c r="K100" s="1" t="s">
        <v>184</v>
      </c>
      <c r="L100" s="1"/>
      <c r="M100" s="1" t="s">
        <v>185</v>
      </c>
      <c r="N100" s="6">
        <f>IFERROR(__xludf.DUMMYFUNCTION("IF(REGEXMATCH(A100, ""^00-""), 0, IF(AND(EQ(F100, """"), EQ(G100, """")), 1, 0))"),0.0)</f>
        <v>0</v>
      </c>
      <c r="O100" s="6">
        <f>IFERROR(__xludf.DUMMYFUNCTION("IF(REGEXMATCH(A100, ""^00-""), 0, IF(AND(NE(F100, """"), EQ(G100, """")), 1, 0))"),0.0)</f>
        <v>0</v>
      </c>
      <c r="P100" s="6">
        <f>IFERROR(__xludf.DUMMYFUNCTION("IF(REGEXMATCH(A100, ""^00-""), 0, IF(AND(EQ(F100, """"), NE(G100, """")), 1, 0))"),0.0)</f>
        <v>0</v>
      </c>
      <c r="Q100" s="6">
        <f>IFERROR(__xludf.DUMMYFUNCTION("IF(REGEXMATCH(A100, ""^00-""), 0, IF(AND(NE(F100, """"), NE(G100, """")), 1, 0))"),1.0)</f>
        <v>1</v>
      </c>
      <c r="R100" s="6">
        <f t="shared" si="1"/>
        <v>1</v>
      </c>
    </row>
    <row r="101">
      <c r="A101" s="1" t="s">
        <v>19</v>
      </c>
      <c r="B101" s="1" t="s">
        <v>459</v>
      </c>
      <c r="C101" s="1">
        <v>123.0</v>
      </c>
      <c r="D101" s="1">
        <v>409.0</v>
      </c>
      <c r="E101" s="1">
        <v>532.0</v>
      </c>
      <c r="F101" s="1"/>
      <c r="G101" s="1" t="s">
        <v>460</v>
      </c>
      <c r="H101" s="1" t="s">
        <v>182</v>
      </c>
      <c r="I101" s="1" t="s">
        <v>172</v>
      </c>
      <c r="J101" s="1" t="s">
        <v>414</v>
      </c>
      <c r="K101" s="1" t="s">
        <v>184</v>
      </c>
      <c r="L101" s="1"/>
      <c r="M101" s="1" t="s">
        <v>185</v>
      </c>
      <c r="N101" s="6">
        <f>IFERROR(__xludf.DUMMYFUNCTION("IF(REGEXMATCH(A101, ""^00-""), 0, IF(AND(EQ(F101, """"), EQ(G101, """")), 1, 0))"),0.0)</f>
        <v>0</v>
      </c>
      <c r="O101" s="6">
        <f>IFERROR(__xludf.DUMMYFUNCTION("IF(REGEXMATCH(A101, ""^00-""), 0, IF(AND(NE(F101, """"), EQ(G101, """")), 1, 0))"),0.0)</f>
        <v>0</v>
      </c>
      <c r="P101" s="6">
        <f>IFERROR(__xludf.DUMMYFUNCTION("IF(REGEXMATCH(A101, ""^00-""), 0, IF(AND(EQ(F101, """"), NE(G101, """")), 1, 0))"),1.0)</f>
        <v>1</v>
      </c>
      <c r="Q101" s="6">
        <f>IFERROR(__xludf.DUMMYFUNCTION("IF(REGEXMATCH(A101, ""^00-""), 0, IF(AND(NE(F101, """"), NE(G101, """")), 1, 0))"),0.0)</f>
        <v>0</v>
      </c>
      <c r="R101" s="6">
        <f t="shared" si="1"/>
        <v>1</v>
      </c>
    </row>
    <row r="102">
      <c r="A102" s="1" t="s">
        <v>19</v>
      </c>
      <c r="B102" s="1" t="s">
        <v>461</v>
      </c>
      <c r="C102" s="1">
        <v>107.0</v>
      </c>
      <c r="D102" s="1">
        <v>425.0</v>
      </c>
      <c r="E102" s="1">
        <v>532.0</v>
      </c>
      <c r="F102" s="1" t="s">
        <v>462</v>
      </c>
      <c r="G102" s="1" t="s">
        <v>463</v>
      </c>
      <c r="H102" s="1" t="s">
        <v>182</v>
      </c>
      <c r="I102" s="1" t="s">
        <v>172</v>
      </c>
      <c r="J102" s="1" t="s">
        <v>414</v>
      </c>
      <c r="K102" s="1" t="s">
        <v>184</v>
      </c>
      <c r="L102" s="1"/>
      <c r="M102" s="1" t="s">
        <v>185</v>
      </c>
      <c r="N102" s="6">
        <f>IFERROR(__xludf.DUMMYFUNCTION("IF(REGEXMATCH(A102, ""^00-""), 0, IF(AND(EQ(F102, """"), EQ(G102, """")), 1, 0))"),0.0)</f>
        <v>0</v>
      </c>
      <c r="O102" s="6">
        <f>IFERROR(__xludf.DUMMYFUNCTION("IF(REGEXMATCH(A102, ""^00-""), 0, IF(AND(NE(F102, """"), EQ(G102, """")), 1, 0))"),0.0)</f>
        <v>0</v>
      </c>
      <c r="P102" s="6">
        <f>IFERROR(__xludf.DUMMYFUNCTION("IF(REGEXMATCH(A102, ""^00-""), 0, IF(AND(EQ(F102, """"), NE(G102, """")), 1, 0))"),0.0)</f>
        <v>0</v>
      </c>
      <c r="Q102" s="6">
        <f>IFERROR(__xludf.DUMMYFUNCTION("IF(REGEXMATCH(A102, ""^00-""), 0, IF(AND(NE(F102, """"), NE(G102, """")), 1, 0))"),1.0)</f>
        <v>1</v>
      </c>
      <c r="R102" s="6">
        <f t="shared" si="1"/>
        <v>1</v>
      </c>
    </row>
    <row r="103">
      <c r="A103" s="1" t="s">
        <v>19</v>
      </c>
      <c r="B103" s="1" t="s">
        <v>464</v>
      </c>
      <c r="C103" s="1">
        <v>531.0</v>
      </c>
      <c r="D103" s="1">
        <v>1.0</v>
      </c>
      <c r="E103" s="1">
        <v>532.0</v>
      </c>
      <c r="F103" s="1" t="s">
        <v>465</v>
      </c>
      <c r="G103" s="1"/>
      <c r="H103" s="1" t="s">
        <v>190</v>
      </c>
      <c r="I103" s="1" t="s">
        <v>172</v>
      </c>
      <c r="J103" s="1" t="s">
        <v>414</v>
      </c>
      <c r="K103" s="1" t="s">
        <v>184</v>
      </c>
      <c r="L103" s="1"/>
      <c r="M103" s="1" t="s">
        <v>191</v>
      </c>
      <c r="N103" s="6">
        <f>IFERROR(__xludf.DUMMYFUNCTION("IF(REGEXMATCH(A103, ""^00-""), 0, IF(AND(EQ(F103, """"), EQ(G103, """")), 1, 0))"),0.0)</f>
        <v>0</v>
      </c>
      <c r="O103" s="6">
        <f>IFERROR(__xludf.DUMMYFUNCTION("IF(REGEXMATCH(A103, ""^00-""), 0, IF(AND(NE(F103, """"), EQ(G103, """")), 1, 0))"),1.0)</f>
        <v>1</v>
      </c>
      <c r="P103" s="6">
        <f>IFERROR(__xludf.DUMMYFUNCTION("IF(REGEXMATCH(A103, ""^00-""), 0, IF(AND(EQ(F103, """"), NE(G103, """")), 1, 0))"),0.0)</f>
        <v>0</v>
      </c>
      <c r="Q103" s="6">
        <f>IFERROR(__xludf.DUMMYFUNCTION("IF(REGEXMATCH(A103, ""^00-""), 0, IF(AND(NE(F103, """"), NE(G103, """")), 1, 0))"),0.0)</f>
        <v>0</v>
      </c>
      <c r="R103" s="6">
        <f t="shared" si="1"/>
        <v>1</v>
      </c>
    </row>
    <row r="104">
      <c r="A104" s="1" t="s">
        <v>19</v>
      </c>
      <c r="B104" s="1" t="s">
        <v>466</v>
      </c>
      <c r="C104" s="1">
        <v>529.0</v>
      </c>
      <c r="D104" s="1">
        <v>3.0</v>
      </c>
      <c r="E104" s="1">
        <v>532.0</v>
      </c>
      <c r="F104" s="1" t="s">
        <v>467</v>
      </c>
      <c r="G104" s="1" t="s">
        <v>468</v>
      </c>
      <c r="H104" s="1" t="s">
        <v>190</v>
      </c>
      <c r="I104" s="1" t="s">
        <v>172</v>
      </c>
      <c r="J104" s="1" t="s">
        <v>414</v>
      </c>
      <c r="K104" s="1" t="s">
        <v>184</v>
      </c>
      <c r="L104" s="1"/>
      <c r="M104" s="1" t="s">
        <v>191</v>
      </c>
      <c r="N104" s="6">
        <f>IFERROR(__xludf.DUMMYFUNCTION("IF(REGEXMATCH(A104, ""^00-""), 0, IF(AND(EQ(F104, """"), EQ(G104, """")), 1, 0))"),0.0)</f>
        <v>0</v>
      </c>
      <c r="O104" s="6">
        <f>IFERROR(__xludf.DUMMYFUNCTION("IF(REGEXMATCH(A104, ""^00-""), 0, IF(AND(NE(F104, """"), EQ(G104, """")), 1, 0))"),0.0)</f>
        <v>0</v>
      </c>
      <c r="P104" s="6">
        <f>IFERROR(__xludf.DUMMYFUNCTION("IF(REGEXMATCH(A104, ""^00-""), 0, IF(AND(EQ(F104, """"), NE(G104, """")), 1, 0))"),0.0)</f>
        <v>0</v>
      </c>
      <c r="Q104" s="6">
        <f>IFERROR(__xludf.DUMMYFUNCTION("IF(REGEXMATCH(A104, ""^00-""), 0, IF(AND(NE(F104, """"), NE(G104, """")), 1, 0))"),1.0)</f>
        <v>1</v>
      </c>
      <c r="R104" s="6">
        <f t="shared" si="1"/>
        <v>1</v>
      </c>
    </row>
    <row r="105">
      <c r="A105" s="1" t="s">
        <v>19</v>
      </c>
      <c r="B105" s="1" t="s">
        <v>469</v>
      </c>
      <c r="C105" s="1">
        <v>528.0</v>
      </c>
      <c r="D105" s="1">
        <v>4.0</v>
      </c>
      <c r="E105" s="1">
        <v>532.0</v>
      </c>
      <c r="F105" s="1" t="s">
        <v>470</v>
      </c>
      <c r="G105" s="1" t="s">
        <v>471</v>
      </c>
      <c r="H105" s="1" t="s">
        <v>190</v>
      </c>
      <c r="I105" s="1" t="s">
        <v>172</v>
      </c>
      <c r="J105" s="1" t="s">
        <v>414</v>
      </c>
      <c r="K105" s="1" t="s">
        <v>184</v>
      </c>
      <c r="L105" s="1"/>
      <c r="M105" s="1" t="s">
        <v>191</v>
      </c>
      <c r="N105" s="6">
        <f>IFERROR(__xludf.DUMMYFUNCTION("IF(REGEXMATCH(A105, ""^00-""), 0, IF(AND(EQ(F105, """"), EQ(G105, """")), 1, 0))"),0.0)</f>
        <v>0</v>
      </c>
      <c r="O105" s="6">
        <f>IFERROR(__xludf.DUMMYFUNCTION("IF(REGEXMATCH(A105, ""^00-""), 0, IF(AND(NE(F105, """"), EQ(G105, """")), 1, 0))"),0.0)</f>
        <v>0</v>
      </c>
      <c r="P105" s="6">
        <f>IFERROR(__xludf.DUMMYFUNCTION("IF(REGEXMATCH(A105, ""^00-""), 0, IF(AND(EQ(F105, """"), NE(G105, """")), 1, 0))"),0.0)</f>
        <v>0</v>
      </c>
      <c r="Q105" s="6">
        <f>IFERROR(__xludf.DUMMYFUNCTION("IF(REGEXMATCH(A105, ""^00-""), 0, IF(AND(NE(F105, """"), NE(G105, """")), 1, 0))"),1.0)</f>
        <v>1</v>
      </c>
      <c r="R105" s="6">
        <f t="shared" si="1"/>
        <v>1</v>
      </c>
    </row>
    <row r="106">
      <c r="A106" s="1" t="s">
        <v>19</v>
      </c>
      <c r="B106" s="1" t="s">
        <v>472</v>
      </c>
      <c r="C106" s="1">
        <v>529.0</v>
      </c>
      <c r="D106" s="1">
        <v>3.0</v>
      </c>
      <c r="E106" s="1">
        <v>532.0</v>
      </c>
      <c r="F106" s="1" t="s">
        <v>473</v>
      </c>
      <c r="G106" s="1" t="s">
        <v>474</v>
      </c>
      <c r="H106" s="1" t="s">
        <v>190</v>
      </c>
      <c r="I106" s="1" t="s">
        <v>172</v>
      </c>
      <c r="J106" s="1" t="s">
        <v>414</v>
      </c>
      <c r="K106" s="1" t="s">
        <v>184</v>
      </c>
      <c r="L106" s="1"/>
      <c r="M106" s="1" t="s">
        <v>191</v>
      </c>
      <c r="N106" s="6">
        <f>IFERROR(__xludf.DUMMYFUNCTION("IF(REGEXMATCH(A106, ""^00-""), 0, IF(AND(EQ(F106, """"), EQ(G106, """")), 1, 0))"),0.0)</f>
        <v>0</v>
      </c>
      <c r="O106" s="6">
        <f>IFERROR(__xludf.DUMMYFUNCTION("IF(REGEXMATCH(A106, ""^00-""), 0, IF(AND(NE(F106, """"), EQ(G106, """")), 1, 0))"),0.0)</f>
        <v>0</v>
      </c>
      <c r="P106" s="6">
        <f>IFERROR(__xludf.DUMMYFUNCTION("IF(REGEXMATCH(A106, ""^00-""), 0, IF(AND(EQ(F106, """"), NE(G106, """")), 1, 0))"),0.0)</f>
        <v>0</v>
      </c>
      <c r="Q106" s="6">
        <f>IFERROR(__xludf.DUMMYFUNCTION("IF(REGEXMATCH(A106, ""^00-""), 0, IF(AND(NE(F106, """"), NE(G106, """")), 1, 0))"),1.0)</f>
        <v>1</v>
      </c>
      <c r="R106" s="6">
        <f t="shared" si="1"/>
        <v>1</v>
      </c>
    </row>
    <row r="107">
      <c r="A107" s="1" t="s">
        <v>19</v>
      </c>
      <c r="B107" s="1" t="s">
        <v>475</v>
      </c>
      <c r="C107" s="1">
        <v>529.0</v>
      </c>
      <c r="D107" s="1">
        <v>3.0</v>
      </c>
      <c r="E107" s="1">
        <v>532.0</v>
      </c>
      <c r="F107" s="1" t="s">
        <v>476</v>
      </c>
      <c r="G107" s="1" t="s">
        <v>477</v>
      </c>
      <c r="H107" s="1" t="s">
        <v>190</v>
      </c>
      <c r="I107" s="1" t="s">
        <v>172</v>
      </c>
      <c r="J107" s="1" t="s">
        <v>414</v>
      </c>
      <c r="K107" s="1" t="s">
        <v>184</v>
      </c>
      <c r="L107" s="1"/>
      <c r="M107" s="1" t="s">
        <v>191</v>
      </c>
      <c r="N107" s="6">
        <f>IFERROR(__xludf.DUMMYFUNCTION("IF(REGEXMATCH(A107, ""^00-""), 0, IF(AND(EQ(F107, """"), EQ(G107, """")), 1, 0))"),0.0)</f>
        <v>0</v>
      </c>
      <c r="O107" s="6">
        <f>IFERROR(__xludf.DUMMYFUNCTION("IF(REGEXMATCH(A107, ""^00-""), 0, IF(AND(NE(F107, """"), EQ(G107, """")), 1, 0))"),0.0)</f>
        <v>0</v>
      </c>
      <c r="P107" s="6">
        <f>IFERROR(__xludf.DUMMYFUNCTION("IF(REGEXMATCH(A107, ""^00-""), 0, IF(AND(EQ(F107, """"), NE(G107, """")), 1, 0))"),0.0)</f>
        <v>0</v>
      </c>
      <c r="Q107" s="6">
        <f>IFERROR(__xludf.DUMMYFUNCTION("IF(REGEXMATCH(A107, ""^00-""), 0, IF(AND(NE(F107, """"), NE(G107, """")), 1, 0))"),1.0)</f>
        <v>1</v>
      </c>
      <c r="R107" s="6">
        <f t="shared" si="1"/>
        <v>1</v>
      </c>
    </row>
    <row r="108">
      <c r="A108" s="1" t="s">
        <v>19</v>
      </c>
      <c r="B108" s="1" t="s">
        <v>478</v>
      </c>
      <c r="C108" s="1">
        <v>529.0</v>
      </c>
      <c r="D108" s="1">
        <v>3.0</v>
      </c>
      <c r="E108" s="1">
        <v>532.0</v>
      </c>
      <c r="F108" s="1" t="s">
        <v>479</v>
      </c>
      <c r="G108" s="1" t="s">
        <v>480</v>
      </c>
      <c r="H108" s="1" t="s">
        <v>190</v>
      </c>
      <c r="I108" s="1" t="s">
        <v>172</v>
      </c>
      <c r="J108" s="1" t="s">
        <v>414</v>
      </c>
      <c r="K108" s="1" t="s">
        <v>184</v>
      </c>
      <c r="L108" s="1"/>
      <c r="M108" s="1" t="s">
        <v>191</v>
      </c>
      <c r="N108" s="6">
        <f>IFERROR(__xludf.DUMMYFUNCTION("IF(REGEXMATCH(A108, ""^00-""), 0, IF(AND(EQ(F108, """"), EQ(G108, """")), 1, 0))"),0.0)</f>
        <v>0</v>
      </c>
      <c r="O108" s="6">
        <f>IFERROR(__xludf.DUMMYFUNCTION("IF(REGEXMATCH(A108, ""^00-""), 0, IF(AND(NE(F108, """"), EQ(G108, """")), 1, 0))"),0.0)</f>
        <v>0</v>
      </c>
      <c r="P108" s="6">
        <f>IFERROR(__xludf.DUMMYFUNCTION("IF(REGEXMATCH(A108, ""^00-""), 0, IF(AND(EQ(F108, """"), NE(G108, """")), 1, 0))"),0.0)</f>
        <v>0</v>
      </c>
      <c r="Q108" s="6">
        <f>IFERROR(__xludf.DUMMYFUNCTION("IF(REGEXMATCH(A108, ""^00-""), 0, IF(AND(NE(F108, """"), NE(G108, """")), 1, 0))"),1.0)</f>
        <v>1</v>
      </c>
      <c r="R108" s="6">
        <f t="shared" si="1"/>
        <v>1</v>
      </c>
    </row>
    <row r="109">
      <c r="A109" s="1" t="s">
        <v>19</v>
      </c>
      <c r="B109" s="1" t="s">
        <v>481</v>
      </c>
      <c r="C109" s="1">
        <v>527.0</v>
      </c>
      <c r="D109" s="1">
        <v>5.0</v>
      </c>
      <c r="E109" s="1">
        <v>532.0</v>
      </c>
      <c r="F109" s="1" t="s">
        <v>482</v>
      </c>
      <c r="G109" s="1" t="s">
        <v>483</v>
      </c>
      <c r="H109" s="1" t="s">
        <v>190</v>
      </c>
      <c r="I109" s="1" t="s">
        <v>172</v>
      </c>
      <c r="J109" s="1" t="s">
        <v>414</v>
      </c>
      <c r="K109" s="1" t="s">
        <v>184</v>
      </c>
      <c r="L109" s="1"/>
      <c r="M109" s="1" t="s">
        <v>191</v>
      </c>
      <c r="N109" s="6">
        <f>IFERROR(__xludf.DUMMYFUNCTION("IF(REGEXMATCH(A109, ""^00-""), 0, IF(AND(EQ(F109, """"), EQ(G109, """")), 1, 0))"),0.0)</f>
        <v>0</v>
      </c>
      <c r="O109" s="6">
        <f>IFERROR(__xludf.DUMMYFUNCTION("IF(REGEXMATCH(A109, ""^00-""), 0, IF(AND(NE(F109, """"), EQ(G109, """")), 1, 0))"),0.0)</f>
        <v>0</v>
      </c>
      <c r="P109" s="6">
        <f>IFERROR(__xludf.DUMMYFUNCTION("IF(REGEXMATCH(A109, ""^00-""), 0, IF(AND(EQ(F109, """"), NE(G109, """")), 1, 0))"),0.0)</f>
        <v>0</v>
      </c>
      <c r="Q109" s="6">
        <f>IFERROR(__xludf.DUMMYFUNCTION("IF(REGEXMATCH(A109, ""^00-""), 0, IF(AND(NE(F109, """"), NE(G109, """")), 1, 0))"),1.0)</f>
        <v>1</v>
      </c>
      <c r="R109" s="6">
        <f t="shared" si="1"/>
        <v>1</v>
      </c>
    </row>
    <row r="110">
      <c r="A110" s="1" t="s">
        <v>19</v>
      </c>
      <c r="B110" s="1" t="s">
        <v>484</v>
      </c>
      <c r="C110" s="1">
        <v>430.0</v>
      </c>
      <c r="D110" s="1">
        <v>102.0</v>
      </c>
      <c r="E110" s="1">
        <v>532.0</v>
      </c>
      <c r="F110" s="1" t="s">
        <v>485</v>
      </c>
      <c r="G110" s="1" t="s">
        <v>486</v>
      </c>
      <c r="H110" s="1" t="s">
        <v>190</v>
      </c>
      <c r="I110" s="1" t="s">
        <v>172</v>
      </c>
      <c r="J110" s="1" t="s">
        <v>414</v>
      </c>
      <c r="K110" s="1" t="s">
        <v>184</v>
      </c>
      <c r="L110" s="1"/>
      <c r="M110" s="1" t="s">
        <v>191</v>
      </c>
      <c r="N110" s="6">
        <f>IFERROR(__xludf.DUMMYFUNCTION("IF(REGEXMATCH(A110, ""^00-""), 0, IF(AND(EQ(F110, """"), EQ(G110, """")), 1, 0))"),0.0)</f>
        <v>0</v>
      </c>
      <c r="O110" s="6">
        <f>IFERROR(__xludf.DUMMYFUNCTION("IF(REGEXMATCH(A110, ""^00-""), 0, IF(AND(NE(F110, """"), EQ(G110, """")), 1, 0))"),0.0)</f>
        <v>0</v>
      </c>
      <c r="P110" s="6">
        <f>IFERROR(__xludf.DUMMYFUNCTION("IF(REGEXMATCH(A110, ""^00-""), 0, IF(AND(EQ(F110, """"), NE(G110, """")), 1, 0))"),0.0)</f>
        <v>0</v>
      </c>
      <c r="Q110" s="6">
        <f>IFERROR(__xludf.DUMMYFUNCTION("IF(REGEXMATCH(A110, ""^00-""), 0, IF(AND(NE(F110, """"), NE(G110, """")), 1, 0))"),1.0)</f>
        <v>1</v>
      </c>
      <c r="R110" s="6">
        <f t="shared" si="1"/>
        <v>1</v>
      </c>
    </row>
    <row r="111">
      <c r="A111" s="1" t="s">
        <v>19</v>
      </c>
      <c r="B111" s="1" t="s">
        <v>487</v>
      </c>
      <c r="C111" s="1">
        <v>430.0</v>
      </c>
      <c r="D111" s="1">
        <v>102.0</v>
      </c>
      <c r="E111" s="1">
        <v>532.0</v>
      </c>
      <c r="F111" s="1" t="s">
        <v>488</v>
      </c>
      <c r="G111" s="1" t="s">
        <v>489</v>
      </c>
      <c r="H111" s="1" t="s">
        <v>190</v>
      </c>
      <c r="I111" s="1" t="s">
        <v>172</v>
      </c>
      <c r="J111" s="1" t="s">
        <v>414</v>
      </c>
      <c r="K111" s="1" t="s">
        <v>184</v>
      </c>
      <c r="L111" s="1"/>
      <c r="M111" s="1" t="s">
        <v>191</v>
      </c>
      <c r="N111" s="6">
        <f>IFERROR(__xludf.DUMMYFUNCTION("IF(REGEXMATCH(A111, ""^00-""), 0, IF(AND(EQ(F111, """"), EQ(G111, """")), 1, 0))"),0.0)</f>
        <v>0</v>
      </c>
      <c r="O111" s="6">
        <f>IFERROR(__xludf.DUMMYFUNCTION("IF(REGEXMATCH(A111, ""^00-""), 0, IF(AND(NE(F111, """"), EQ(G111, """")), 1, 0))"),0.0)</f>
        <v>0</v>
      </c>
      <c r="P111" s="6">
        <f>IFERROR(__xludf.DUMMYFUNCTION("IF(REGEXMATCH(A111, ""^00-""), 0, IF(AND(EQ(F111, """"), NE(G111, """")), 1, 0))"),0.0)</f>
        <v>0</v>
      </c>
      <c r="Q111" s="6">
        <f>IFERROR(__xludf.DUMMYFUNCTION("IF(REGEXMATCH(A111, ""^00-""), 0, IF(AND(NE(F111, """"), NE(G111, """")), 1, 0))"),1.0)</f>
        <v>1</v>
      </c>
      <c r="R111" s="6">
        <f t="shared" si="1"/>
        <v>1</v>
      </c>
    </row>
    <row r="112">
      <c r="A112" s="1" t="s">
        <v>19</v>
      </c>
      <c r="B112" s="1" t="s">
        <v>490</v>
      </c>
      <c r="C112" s="1">
        <v>428.0</v>
      </c>
      <c r="D112" s="1">
        <v>104.0</v>
      </c>
      <c r="E112" s="1">
        <v>532.0</v>
      </c>
      <c r="F112" s="1" t="s">
        <v>491</v>
      </c>
      <c r="G112" s="1" t="s">
        <v>492</v>
      </c>
      <c r="H112" s="1" t="s">
        <v>190</v>
      </c>
      <c r="I112" s="1" t="s">
        <v>172</v>
      </c>
      <c r="J112" s="1" t="s">
        <v>414</v>
      </c>
      <c r="K112" s="1" t="s">
        <v>184</v>
      </c>
      <c r="L112" s="1"/>
      <c r="M112" s="1" t="s">
        <v>191</v>
      </c>
      <c r="N112" s="6">
        <f>IFERROR(__xludf.DUMMYFUNCTION("IF(REGEXMATCH(A112, ""^00-""), 0, IF(AND(EQ(F112, """"), EQ(G112, """")), 1, 0))"),0.0)</f>
        <v>0</v>
      </c>
      <c r="O112" s="6">
        <f>IFERROR(__xludf.DUMMYFUNCTION("IF(REGEXMATCH(A112, ""^00-""), 0, IF(AND(NE(F112, """"), EQ(G112, """")), 1, 0))"),0.0)</f>
        <v>0</v>
      </c>
      <c r="P112" s="6">
        <f>IFERROR(__xludf.DUMMYFUNCTION("IF(REGEXMATCH(A112, ""^00-""), 0, IF(AND(EQ(F112, """"), NE(G112, """")), 1, 0))"),0.0)</f>
        <v>0</v>
      </c>
      <c r="Q112" s="6">
        <f>IFERROR(__xludf.DUMMYFUNCTION("IF(REGEXMATCH(A112, ""^00-""), 0, IF(AND(NE(F112, """"), NE(G112, """")), 1, 0))"),1.0)</f>
        <v>1</v>
      </c>
      <c r="R112" s="6">
        <f t="shared" si="1"/>
        <v>1</v>
      </c>
    </row>
    <row r="113">
      <c r="A113" s="1" t="s">
        <v>19</v>
      </c>
      <c r="B113" s="1" t="s">
        <v>493</v>
      </c>
      <c r="C113" s="1">
        <v>429.0</v>
      </c>
      <c r="D113" s="1">
        <v>103.0</v>
      </c>
      <c r="E113" s="1">
        <v>532.0</v>
      </c>
      <c r="F113" s="1" t="s">
        <v>494</v>
      </c>
      <c r="G113" s="1" t="s">
        <v>495</v>
      </c>
      <c r="H113" s="1" t="s">
        <v>190</v>
      </c>
      <c r="I113" s="1" t="s">
        <v>172</v>
      </c>
      <c r="J113" s="1" t="s">
        <v>414</v>
      </c>
      <c r="K113" s="1" t="s">
        <v>184</v>
      </c>
      <c r="L113" s="1"/>
      <c r="M113" s="1" t="s">
        <v>191</v>
      </c>
      <c r="N113" s="6">
        <f>IFERROR(__xludf.DUMMYFUNCTION("IF(REGEXMATCH(A113, ""^00-""), 0, IF(AND(EQ(F113, """"), EQ(G113, """")), 1, 0))"),0.0)</f>
        <v>0</v>
      </c>
      <c r="O113" s="6">
        <f>IFERROR(__xludf.DUMMYFUNCTION("IF(REGEXMATCH(A113, ""^00-""), 0, IF(AND(NE(F113, """"), EQ(G113, """")), 1, 0))"),0.0)</f>
        <v>0</v>
      </c>
      <c r="P113" s="6">
        <f>IFERROR(__xludf.DUMMYFUNCTION("IF(REGEXMATCH(A113, ""^00-""), 0, IF(AND(EQ(F113, """"), NE(G113, """")), 1, 0))"),0.0)</f>
        <v>0</v>
      </c>
      <c r="Q113" s="6">
        <f>IFERROR(__xludf.DUMMYFUNCTION("IF(REGEXMATCH(A113, ""^00-""), 0, IF(AND(NE(F113, """"), NE(G113, """")), 1, 0))"),1.0)</f>
        <v>1</v>
      </c>
      <c r="R113" s="6">
        <f t="shared" si="1"/>
        <v>1</v>
      </c>
    </row>
    <row r="114">
      <c r="A114" s="1" t="s">
        <v>19</v>
      </c>
      <c r="B114" s="1" t="s">
        <v>496</v>
      </c>
      <c r="C114" s="1">
        <v>428.0</v>
      </c>
      <c r="D114" s="1">
        <v>104.0</v>
      </c>
      <c r="E114" s="1">
        <v>532.0</v>
      </c>
      <c r="F114" s="1" t="s">
        <v>497</v>
      </c>
      <c r="G114" s="1" t="s">
        <v>498</v>
      </c>
      <c r="H114" s="1" t="s">
        <v>190</v>
      </c>
      <c r="I114" s="1" t="s">
        <v>172</v>
      </c>
      <c r="J114" s="1" t="s">
        <v>414</v>
      </c>
      <c r="K114" s="1" t="s">
        <v>184</v>
      </c>
      <c r="L114" s="1"/>
      <c r="M114" s="1" t="s">
        <v>191</v>
      </c>
      <c r="N114" s="6">
        <f>IFERROR(__xludf.DUMMYFUNCTION("IF(REGEXMATCH(A114, ""^00-""), 0, IF(AND(EQ(F114, """"), EQ(G114, """")), 1, 0))"),0.0)</f>
        <v>0</v>
      </c>
      <c r="O114" s="6">
        <f>IFERROR(__xludf.DUMMYFUNCTION("IF(REGEXMATCH(A114, ""^00-""), 0, IF(AND(NE(F114, """"), EQ(G114, """")), 1, 0))"),0.0)</f>
        <v>0</v>
      </c>
      <c r="P114" s="6">
        <f>IFERROR(__xludf.DUMMYFUNCTION("IF(REGEXMATCH(A114, ""^00-""), 0, IF(AND(EQ(F114, """"), NE(G114, """")), 1, 0))"),0.0)</f>
        <v>0</v>
      </c>
      <c r="Q114" s="6">
        <f>IFERROR(__xludf.DUMMYFUNCTION("IF(REGEXMATCH(A114, ""^00-""), 0, IF(AND(NE(F114, """"), NE(G114, """")), 1, 0))"),1.0)</f>
        <v>1</v>
      </c>
      <c r="R114" s="6">
        <f t="shared" si="1"/>
        <v>1</v>
      </c>
    </row>
    <row r="115">
      <c r="A115" s="1" t="s">
        <v>19</v>
      </c>
      <c r="B115" s="1" t="s">
        <v>499</v>
      </c>
      <c r="C115" s="1">
        <v>504.0</v>
      </c>
      <c r="D115" s="1">
        <v>28.0</v>
      </c>
      <c r="E115" s="1">
        <v>532.0</v>
      </c>
      <c r="F115" s="1" t="s">
        <v>500</v>
      </c>
      <c r="G115" s="1" t="s">
        <v>501</v>
      </c>
      <c r="H115" s="1" t="s">
        <v>269</v>
      </c>
      <c r="I115" s="1" t="s">
        <v>172</v>
      </c>
      <c r="J115" s="1" t="s">
        <v>414</v>
      </c>
      <c r="K115" s="1" t="s">
        <v>184</v>
      </c>
      <c r="L115" s="1"/>
      <c r="M115" s="1" t="s">
        <v>499</v>
      </c>
      <c r="N115" s="6">
        <f>IFERROR(__xludf.DUMMYFUNCTION("IF(REGEXMATCH(A115, ""^00-""), 0, IF(AND(EQ(F115, """"), EQ(G115, """")), 1, 0))"),0.0)</f>
        <v>0</v>
      </c>
      <c r="O115" s="6">
        <f>IFERROR(__xludf.DUMMYFUNCTION("IF(REGEXMATCH(A115, ""^00-""), 0, IF(AND(NE(F115, """"), EQ(G115, """")), 1, 0))"),0.0)</f>
        <v>0</v>
      </c>
      <c r="P115" s="6">
        <f>IFERROR(__xludf.DUMMYFUNCTION("IF(REGEXMATCH(A115, ""^00-""), 0, IF(AND(EQ(F115, """"), NE(G115, """")), 1, 0))"),0.0)</f>
        <v>0</v>
      </c>
      <c r="Q115" s="6">
        <f>IFERROR(__xludf.DUMMYFUNCTION("IF(REGEXMATCH(A115, ""^00-""), 0, IF(AND(NE(F115, """"), NE(G115, """")), 1, 0))"),1.0)</f>
        <v>1</v>
      </c>
      <c r="R115" s="6">
        <f t="shared" si="1"/>
        <v>1</v>
      </c>
    </row>
    <row r="116">
      <c r="A116" s="1" t="s">
        <v>19</v>
      </c>
      <c r="B116" s="1" t="s">
        <v>502</v>
      </c>
      <c r="C116" s="1">
        <v>528.0</v>
      </c>
      <c r="D116" s="1">
        <v>4.0</v>
      </c>
      <c r="E116" s="1">
        <v>532.0</v>
      </c>
      <c r="F116" s="1" t="s">
        <v>503</v>
      </c>
      <c r="G116" s="1" t="s">
        <v>504</v>
      </c>
      <c r="H116" s="1" t="s">
        <v>190</v>
      </c>
      <c r="I116" s="1" t="s">
        <v>172</v>
      </c>
      <c r="J116" s="1" t="s">
        <v>414</v>
      </c>
      <c r="K116" s="1" t="s">
        <v>184</v>
      </c>
      <c r="L116" s="1"/>
      <c r="M116" s="1" t="s">
        <v>191</v>
      </c>
      <c r="N116" s="6">
        <f>IFERROR(__xludf.DUMMYFUNCTION("IF(REGEXMATCH(A116, ""^00-""), 0, IF(AND(EQ(F116, """"), EQ(G116, """")), 1, 0))"),0.0)</f>
        <v>0</v>
      </c>
      <c r="O116" s="6">
        <f>IFERROR(__xludf.DUMMYFUNCTION("IF(REGEXMATCH(A116, ""^00-""), 0, IF(AND(NE(F116, """"), EQ(G116, """")), 1, 0))"),0.0)</f>
        <v>0</v>
      </c>
      <c r="P116" s="6">
        <f>IFERROR(__xludf.DUMMYFUNCTION("IF(REGEXMATCH(A116, ""^00-""), 0, IF(AND(EQ(F116, """"), NE(G116, """")), 1, 0))"),0.0)</f>
        <v>0</v>
      </c>
      <c r="Q116" s="6">
        <f>IFERROR(__xludf.DUMMYFUNCTION("IF(REGEXMATCH(A116, ""^00-""), 0, IF(AND(NE(F116, """"), NE(G116, """")), 1, 0))"),1.0)</f>
        <v>1</v>
      </c>
      <c r="R116" s="6">
        <f t="shared" si="1"/>
        <v>1</v>
      </c>
    </row>
    <row r="117">
      <c r="A117" s="1" t="s">
        <v>19</v>
      </c>
      <c r="B117" s="1" t="s">
        <v>505</v>
      </c>
      <c r="C117" s="1">
        <v>371.0</v>
      </c>
      <c r="D117" s="1">
        <v>161.0</v>
      </c>
      <c r="E117" s="1">
        <v>532.0</v>
      </c>
      <c r="F117" s="1" t="s">
        <v>506</v>
      </c>
      <c r="G117" s="1" t="s">
        <v>507</v>
      </c>
      <c r="H117" s="1" t="s">
        <v>235</v>
      </c>
      <c r="I117" s="1" t="s">
        <v>172</v>
      </c>
      <c r="J117" s="1" t="s">
        <v>414</v>
      </c>
      <c r="K117" s="1" t="s">
        <v>184</v>
      </c>
      <c r="L117" s="1"/>
      <c r="M117" s="1" t="s">
        <v>505</v>
      </c>
      <c r="N117" s="6">
        <f>IFERROR(__xludf.DUMMYFUNCTION("IF(REGEXMATCH(A117, ""^00-""), 0, IF(AND(EQ(F117, """"), EQ(G117, """")), 1, 0))"),0.0)</f>
        <v>0</v>
      </c>
      <c r="O117" s="6">
        <f>IFERROR(__xludf.DUMMYFUNCTION("IF(REGEXMATCH(A117, ""^00-""), 0, IF(AND(NE(F117, """"), EQ(G117, """")), 1, 0))"),0.0)</f>
        <v>0</v>
      </c>
      <c r="P117" s="6">
        <f>IFERROR(__xludf.DUMMYFUNCTION("IF(REGEXMATCH(A117, ""^00-""), 0, IF(AND(EQ(F117, """"), NE(G117, """")), 1, 0))"),0.0)</f>
        <v>0</v>
      </c>
      <c r="Q117" s="6">
        <f>IFERROR(__xludf.DUMMYFUNCTION("IF(REGEXMATCH(A117, ""^00-""), 0, IF(AND(NE(F117, """"), NE(G117, """")), 1, 0))"),1.0)</f>
        <v>1</v>
      </c>
      <c r="R117" s="6">
        <f t="shared" si="1"/>
        <v>1</v>
      </c>
    </row>
    <row r="118">
      <c r="A118" s="1" t="s">
        <v>19</v>
      </c>
      <c r="B118" s="1" t="s">
        <v>508</v>
      </c>
      <c r="C118" s="1">
        <v>415.0</v>
      </c>
      <c r="D118" s="1">
        <v>117.0</v>
      </c>
      <c r="E118" s="1">
        <v>532.0</v>
      </c>
      <c r="F118" s="1" t="s">
        <v>509</v>
      </c>
      <c r="G118" s="1" t="s">
        <v>510</v>
      </c>
      <c r="H118" s="1" t="s">
        <v>182</v>
      </c>
      <c r="I118" s="1" t="s">
        <v>172</v>
      </c>
      <c r="J118" s="1" t="s">
        <v>414</v>
      </c>
      <c r="K118" s="1" t="s">
        <v>184</v>
      </c>
      <c r="L118" s="1"/>
      <c r="M118" s="1" t="s">
        <v>257</v>
      </c>
      <c r="N118" s="6">
        <f>IFERROR(__xludf.DUMMYFUNCTION("IF(REGEXMATCH(A118, ""^00-""), 0, IF(AND(EQ(F118, """"), EQ(G118, """")), 1, 0))"),0.0)</f>
        <v>0</v>
      </c>
      <c r="O118" s="6">
        <f>IFERROR(__xludf.DUMMYFUNCTION("IF(REGEXMATCH(A118, ""^00-""), 0, IF(AND(NE(F118, """"), EQ(G118, """")), 1, 0))"),0.0)</f>
        <v>0</v>
      </c>
      <c r="P118" s="6">
        <f>IFERROR(__xludf.DUMMYFUNCTION("IF(REGEXMATCH(A118, ""^00-""), 0, IF(AND(EQ(F118, """"), NE(G118, """")), 1, 0))"),0.0)</f>
        <v>0</v>
      </c>
      <c r="Q118" s="6">
        <f>IFERROR(__xludf.DUMMYFUNCTION("IF(REGEXMATCH(A118, ""^00-""), 0, IF(AND(NE(F118, """"), NE(G118, """")), 1, 0))"),1.0)</f>
        <v>1</v>
      </c>
      <c r="R118" s="6">
        <f t="shared" si="1"/>
        <v>1</v>
      </c>
    </row>
    <row r="119">
      <c r="A119" s="1" t="s">
        <v>19</v>
      </c>
      <c r="B119" s="1" t="s">
        <v>511</v>
      </c>
      <c r="C119" s="1">
        <v>359.0</v>
      </c>
      <c r="D119" s="1">
        <v>173.0</v>
      </c>
      <c r="E119" s="1">
        <v>532.0</v>
      </c>
      <c r="F119" s="1" t="s">
        <v>512</v>
      </c>
      <c r="G119" s="1" t="s">
        <v>513</v>
      </c>
      <c r="H119" s="1" t="s">
        <v>182</v>
      </c>
      <c r="I119" s="1" t="s">
        <v>172</v>
      </c>
      <c r="J119" s="1" t="s">
        <v>414</v>
      </c>
      <c r="K119" s="1" t="s">
        <v>184</v>
      </c>
      <c r="L119" s="1"/>
      <c r="M119" s="1" t="s">
        <v>257</v>
      </c>
      <c r="N119" s="6">
        <f>IFERROR(__xludf.DUMMYFUNCTION("IF(REGEXMATCH(A119, ""^00-""), 0, IF(AND(EQ(F119, """"), EQ(G119, """")), 1, 0))"),0.0)</f>
        <v>0</v>
      </c>
      <c r="O119" s="6">
        <f>IFERROR(__xludf.DUMMYFUNCTION("IF(REGEXMATCH(A119, ""^00-""), 0, IF(AND(NE(F119, """"), EQ(G119, """")), 1, 0))"),0.0)</f>
        <v>0</v>
      </c>
      <c r="P119" s="6">
        <f>IFERROR(__xludf.DUMMYFUNCTION("IF(REGEXMATCH(A119, ""^00-""), 0, IF(AND(EQ(F119, """"), NE(G119, """")), 1, 0))"),0.0)</f>
        <v>0</v>
      </c>
      <c r="Q119" s="6">
        <f>IFERROR(__xludf.DUMMYFUNCTION("IF(REGEXMATCH(A119, ""^00-""), 0, IF(AND(NE(F119, """"), NE(G119, """")), 1, 0))"),1.0)</f>
        <v>1</v>
      </c>
      <c r="R119" s="6">
        <f t="shared" si="1"/>
        <v>1</v>
      </c>
    </row>
    <row r="120">
      <c r="A120" s="1" t="s">
        <v>19</v>
      </c>
      <c r="B120" s="1" t="s">
        <v>514</v>
      </c>
      <c r="C120" s="1">
        <v>320.0</v>
      </c>
      <c r="D120" s="1">
        <v>212.0</v>
      </c>
      <c r="E120" s="1">
        <v>532.0</v>
      </c>
      <c r="F120" s="1" t="s">
        <v>515</v>
      </c>
      <c r="G120" s="1" t="s">
        <v>516</v>
      </c>
      <c r="H120" s="1" t="s">
        <v>182</v>
      </c>
      <c r="I120" s="1" t="s">
        <v>172</v>
      </c>
      <c r="J120" s="1" t="s">
        <v>414</v>
      </c>
      <c r="K120" s="1" t="s">
        <v>184</v>
      </c>
      <c r="L120" s="1"/>
      <c r="M120" s="1" t="s">
        <v>257</v>
      </c>
      <c r="N120" s="6">
        <f>IFERROR(__xludf.DUMMYFUNCTION("IF(REGEXMATCH(A120, ""^00-""), 0, IF(AND(EQ(F120, """"), EQ(G120, """")), 1, 0))"),0.0)</f>
        <v>0</v>
      </c>
      <c r="O120" s="6">
        <f>IFERROR(__xludf.DUMMYFUNCTION("IF(REGEXMATCH(A120, ""^00-""), 0, IF(AND(NE(F120, """"), EQ(G120, """")), 1, 0))"),0.0)</f>
        <v>0</v>
      </c>
      <c r="P120" s="6">
        <f>IFERROR(__xludf.DUMMYFUNCTION("IF(REGEXMATCH(A120, ""^00-""), 0, IF(AND(EQ(F120, """"), NE(G120, """")), 1, 0))"),0.0)</f>
        <v>0</v>
      </c>
      <c r="Q120" s="6">
        <f>IFERROR(__xludf.DUMMYFUNCTION("IF(REGEXMATCH(A120, ""^00-""), 0, IF(AND(NE(F120, """"), NE(G120, """")), 1, 0))"),1.0)</f>
        <v>1</v>
      </c>
      <c r="R120" s="6">
        <f t="shared" si="1"/>
        <v>1</v>
      </c>
    </row>
    <row r="121">
      <c r="A121" s="1" t="s">
        <v>19</v>
      </c>
      <c r="B121" s="1" t="s">
        <v>517</v>
      </c>
      <c r="C121" s="1">
        <v>299.0</v>
      </c>
      <c r="D121" s="1">
        <v>233.0</v>
      </c>
      <c r="E121" s="1">
        <v>532.0</v>
      </c>
      <c r="F121" s="1" t="s">
        <v>518</v>
      </c>
      <c r="G121" s="1" t="s">
        <v>519</v>
      </c>
      <c r="H121" s="1" t="s">
        <v>182</v>
      </c>
      <c r="I121" s="1" t="s">
        <v>172</v>
      </c>
      <c r="J121" s="1" t="s">
        <v>414</v>
      </c>
      <c r="K121" s="1" t="s">
        <v>184</v>
      </c>
      <c r="L121" s="1"/>
      <c r="M121" s="1" t="s">
        <v>257</v>
      </c>
      <c r="N121" s="6">
        <f>IFERROR(__xludf.DUMMYFUNCTION("IF(REGEXMATCH(A121, ""^00-""), 0, IF(AND(EQ(F121, """"), EQ(G121, """")), 1, 0))"),0.0)</f>
        <v>0</v>
      </c>
      <c r="O121" s="6">
        <f>IFERROR(__xludf.DUMMYFUNCTION("IF(REGEXMATCH(A121, ""^00-""), 0, IF(AND(NE(F121, """"), EQ(G121, """")), 1, 0))"),0.0)</f>
        <v>0</v>
      </c>
      <c r="P121" s="6">
        <f>IFERROR(__xludf.DUMMYFUNCTION("IF(REGEXMATCH(A121, ""^00-""), 0, IF(AND(EQ(F121, """"), NE(G121, """")), 1, 0))"),0.0)</f>
        <v>0</v>
      </c>
      <c r="Q121" s="6">
        <f>IFERROR(__xludf.DUMMYFUNCTION("IF(REGEXMATCH(A121, ""^00-""), 0, IF(AND(NE(F121, """"), NE(G121, """")), 1, 0))"),1.0)</f>
        <v>1</v>
      </c>
      <c r="R121" s="6">
        <f t="shared" si="1"/>
        <v>1</v>
      </c>
    </row>
    <row r="122">
      <c r="A122" s="1" t="s">
        <v>19</v>
      </c>
      <c r="B122" s="1" t="s">
        <v>520</v>
      </c>
      <c r="C122" s="1">
        <v>347.0</v>
      </c>
      <c r="D122" s="1">
        <v>185.0</v>
      </c>
      <c r="E122" s="1">
        <v>532.0</v>
      </c>
      <c r="F122" s="1" t="s">
        <v>521</v>
      </c>
      <c r="G122" s="1" t="s">
        <v>522</v>
      </c>
      <c r="H122" s="1" t="s">
        <v>182</v>
      </c>
      <c r="I122" s="1" t="s">
        <v>172</v>
      </c>
      <c r="J122" s="1" t="s">
        <v>414</v>
      </c>
      <c r="K122" s="1" t="s">
        <v>184</v>
      </c>
      <c r="L122" s="1"/>
      <c r="M122" s="1" t="s">
        <v>257</v>
      </c>
      <c r="N122" s="6">
        <f>IFERROR(__xludf.DUMMYFUNCTION("IF(REGEXMATCH(A122, ""^00-""), 0, IF(AND(EQ(F122, """"), EQ(G122, """")), 1, 0))"),0.0)</f>
        <v>0</v>
      </c>
      <c r="O122" s="6">
        <f>IFERROR(__xludf.DUMMYFUNCTION("IF(REGEXMATCH(A122, ""^00-""), 0, IF(AND(NE(F122, """"), EQ(G122, """")), 1, 0))"),0.0)</f>
        <v>0</v>
      </c>
      <c r="P122" s="6">
        <f>IFERROR(__xludf.DUMMYFUNCTION("IF(REGEXMATCH(A122, ""^00-""), 0, IF(AND(EQ(F122, """"), NE(G122, """")), 1, 0))"),0.0)</f>
        <v>0</v>
      </c>
      <c r="Q122" s="6">
        <f>IFERROR(__xludf.DUMMYFUNCTION("IF(REGEXMATCH(A122, ""^00-""), 0, IF(AND(NE(F122, """"), NE(G122, """")), 1, 0))"),1.0)</f>
        <v>1</v>
      </c>
      <c r="R122" s="6">
        <f t="shared" si="1"/>
        <v>1</v>
      </c>
    </row>
    <row r="123">
      <c r="A123" s="1" t="s">
        <v>19</v>
      </c>
      <c r="B123" s="1" t="s">
        <v>523</v>
      </c>
      <c r="C123" s="1">
        <v>531.0</v>
      </c>
      <c r="D123" s="1">
        <v>1.0</v>
      </c>
      <c r="E123" s="1">
        <v>532.0</v>
      </c>
      <c r="F123" s="1" t="s">
        <v>524</v>
      </c>
      <c r="G123" s="1" t="s">
        <v>525</v>
      </c>
      <c r="H123" s="1" t="s">
        <v>190</v>
      </c>
      <c r="I123" s="1" t="s">
        <v>172</v>
      </c>
      <c r="J123" s="1" t="s">
        <v>414</v>
      </c>
      <c r="K123" s="1" t="s">
        <v>184</v>
      </c>
      <c r="L123" s="1"/>
      <c r="M123" s="1" t="s">
        <v>191</v>
      </c>
      <c r="N123" s="6">
        <f>IFERROR(__xludf.DUMMYFUNCTION("IF(REGEXMATCH(A123, ""^00-""), 0, IF(AND(EQ(F123, """"), EQ(G123, """")), 1, 0))"),0.0)</f>
        <v>0</v>
      </c>
      <c r="O123" s="6">
        <f>IFERROR(__xludf.DUMMYFUNCTION("IF(REGEXMATCH(A123, ""^00-""), 0, IF(AND(NE(F123, """"), EQ(G123, """")), 1, 0))"),0.0)</f>
        <v>0</v>
      </c>
      <c r="P123" s="6">
        <f>IFERROR(__xludf.DUMMYFUNCTION("IF(REGEXMATCH(A123, ""^00-""), 0, IF(AND(EQ(F123, """"), NE(G123, """")), 1, 0))"),0.0)</f>
        <v>0</v>
      </c>
      <c r="Q123" s="6">
        <f>IFERROR(__xludf.DUMMYFUNCTION("IF(REGEXMATCH(A123, ""^00-""), 0, IF(AND(NE(F123, """"), NE(G123, """")), 1, 0))"),1.0)</f>
        <v>1</v>
      </c>
      <c r="R123" s="6">
        <f t="shared" si="1"/>
        <v>1</v>
      </c>
    </row>
    <row r="124">
      <c r="A124" s="1" t="s">
        <v>19</v>
      </c>
      <c r="B124" s="1" t="s">
        <v>526</v>
      </c>
      <c r="C124" s="1">
        <v>509.0</v>
      </c>
      <c r="D124" s="1">
        <v>23.0</v>
      </c>
      <c r="E124" s="1">
        <v>532.0</v>
      </c>
      <c r="F124" s="1" t="s">
        <v>527</v>
      </c>
      <c r="G124" s="1" t="s">
        <v>528</v>
      </c>
      <c r="H124" s="1" t="s">
        <v>235</v>
      </c>
      <c r="I124" s="1" t="s">
        <v>172</v>
      </c>
      <c r="J124" s="1" t="s">
        <v>414</v>
      </c>
      <c r="K124" s="1" t="s">
        <v>184</v>
      </c>
      <c r="L124" s="1"/>
      <c r="M124" s="1" t="s">
        <v>529</v>
      </c>
      <c r="N124" s="6">
        <f>IFERROR(__xludf.DUMMYFUNCTION("IF(REGEXMATCH(A124, ""^00-""), 0, IF(AND(EQ(F124, """"), EQ(G124, """")), 1, 0))"),0.0)</f>
        <v>0</v>
      </c>
      <c r="O124" s="6">
        <f>IFERROR(__xludf.DUMMYFUNCTION("IF(REGEXMATCH(A124, ""^00-""), 0, IF(AND(NE(F124, """"), EQ(G124, """")), 1, 0))"),0.0)</f>
        <v>0</v>
      </c>
      <c r="P124" s="6">
        <f>IFERROR(__xludf.DUMMYFUNCTION("IF(REGEXMATCH(A124, ""^00-""), 0, IF(AND(EQ(F124, """"), NE(G124, """")), 1, 0))"),0.0)</f>
        <v>0</v>
      </c>
      <c r="Q124" s="6">
        <f>IFERROR(__xludf.DUMMYFUNCTION("IF(REGEXMATCH(A124, ""^00-""), 0, IF(AND(NE(F124, """"), NE(G124, """")), 1, 0))"),1.0)</f>
        <v>1</v>
      </c>
      <c r="R124" s="6">
        <f t="shared" si="1"/>
        <v>1</v>
      </c>
    </row>
    <row r="125">
      <c r="A125" s="1" t="s">
        <v>19</v>
      </c>
      <c r="B125" s="1" t="s">
        <v>530</v>
      </c>
      <c r="C125" s="1">
        <v>520.0</v>
      </c>
      <c r="D125" s="1">
        <v>12.0</v>
      </c>
      <c r="E125" s="1">
        <v>532.0</v>
      </c>
      <c r="F125" s="1" t="s">
        <v>531</v>
      </c>
      <c r="G125" s="1" t="s">
        <v>532</v>
      </c>
      <c r="H125" s="1" t="s">
        <v>250</v>
      </c>
      <c r="I125" s="1" t="s">
        <v>172</v>
      </c>
      <c r="J125" s="1" t="s">
        <v>414</v>
      </c>
      <c r="K125" s="1" t="s">
        <v>184</v>
      </c>
      <c r="L125" s="1"/>
      <c r="M125" s="1" t="s">
        <v>250</v>
      </c>
      <c r="N125" s="6">
        <f>IFERROR(__xludf.DUMMYFUNCTION("IF(REGEXMATCH(A125, ""^00-""), 0, IF(AND(EQ(F125, """"), EQ(G125, """")), 1, 0))"),0.0)</f>
        <v>0</v>
      </c>
      <c r="O125" s="6">
        <f>IFERROR(__xludf.DUMMYFUNCTION("IF(REGEXMATCH(A125, ""^00-""), 0, IF(AND(NE(F125, """"), EQ(G125, """")), 1, 0))"),0.0)</f>
        <v>0</v>
      </c>
      <c r="P125" s="6">
        <f>IFERROR(__xludf.DUMMYFUNCTION("IF(REGEXMATCH(A125, ""^00-""), 0, IF(AND(EQ(F125, """"), NE(G125, """")), 1, 0))"),0.0)</f>
        <v>0</v>
      </c>
      <c r="Q125" s="6">
        <f>IFERROR(__xludf.DUMMYFUNCTION("IF(REGEXMATCH(A125, ""^00-""), 0, IF(AND(NE(F125, """"), NE(G125, """")), 1, 0))"),1.0)</f>
        <v>1</v>
      </c>
      <c r="R125" s="6">
        <f t="shared" si="1"/>
        <v>1</v>
      </c>
    </row>
    <row r="126">
      <c r="A126" s="1" t="s">
        <v>19</v>
      </c>
      <c r="B126" s="1" t="s">
        <v>533</v>
      </c>
      <c r="C126" s="1">
        <v>481.0</v>
      </c>
      <c r="D126" s="1">
        <v>51.0</v>
      </c>
      <c r="E126" s="1">
        <v>532.0</v>
      </c>
      <c r="F126" s="1" t="s">
        <v>534</v>
      </c>
      <c r="G126" s="1" t="s">
        <v>535</v>
      </c>
      <c r="H126" s="1" t="s">
        <v>254</v>
      </c>
      <c r="I126" s="1" t="s">
        <v>172</v>
      </c>
      <c r="J126" s="1" t="s">
        <v>414</v>
      </c>
      <c r="K126" s="1" t="s">
        <v>184</v>
      </c>
      <c r="L126" s="1"/>
      <c r="M126" s="1" t="s">
        <v>254</v>
      </c>
      <c r="N126" s="6">
        <f>IFERROR(__xludf.DUMMYFUNCTION("IF(REGEXMATCH(A126, ""^00-""), 0, IF(AND(EQ(F126, """"), EQ(G126, """")), 1, 0))"),0.0)</f>
        <v>0</v>
      </c>
      <c r="O126" s="6">
        <f>IFERROR(__xludf.DUMMYFUNCTION("IF(REGEXMATCH(A126, ""^00-""), 0, IF(AND(NE(F126, """"), EQ(G126, """")), 1, 0))"),0.0)</f>
        <v>0</v>
      </c>
      <c r="P126" s="6">
        <f>IFERROR(__xludf.DUMMYFUNCTION("IF(REGEXMATCH(A126, ""^00-""), 0, IF(AND(EQ(F126, """"), NE(G126, """")), 1, 0))"),0.0)</f>
        <v>0</v>
      </c>
      <c r="Q126" s="6">
        <f>IFERROR(__xludf.DUMMYFUNCTION("IF(REGEXMATCH(A126, ""^00-""), 0, IF(AND(NE(F126, """"), NE(G126, """")), 1, 0))"),1.0)</f>
        <v>1</v>
      </c>
      <c r="R126" s="6">
        <f t="shared" si="1"/>
        <v>1</v>
      </c>
    </row>
    <row r="127">
      <c r="A127" s="1" t="s">
        <v>19</v>
      </c>
      <c r="B127" s="1" t="s">
        <v>536</v>
      </c>
      <c r="C127" s="1">
        <v>516.0</v>
      </c>
      <c r="D127" s="1">
        <v>16.0</v>
      </c>
      <c r="E127" s="1">
        <v>532.0</v>
      </c>
      <c r="F127" s="1" t="s">
        <v>537</v>
      </c>
      <c r="G127" s="1" t="s">
        <v>538</v>
      </c>
      <c r="H127" s="1" t="s">
        <v>182</v>
      </c>
      <c r="I127" s="1" t="s">
        <v>172</v>
      </c>
      <c r="J127" s="1" t="s">
        <v>414</v>
      </c>
      <c r="K127" s="1" t="s">
        <v>184</v>
      </c>
      <c r="L127" s="1"/>
      <c r="M127" s="1" t="s">
        <v>257</v>
      </c>
      <c r="N127" s="6">
        <f>IFERROR(__xludf.DUMMYFUNCTION("IF(REGEXMATCH(A127, ""^00-""), 0, IF(AND(EQ(F127, """"), EQ(G127, """")), 1, 0))"),0.0)</f>
        <v>0</v>
      </c>
      <c r="O127" s="6">
        <f>IFERROR(__xludf.DUMMYFUNCTION("IF(REGEXMATCH(A127, ""^00-""), 0, IF(AND(NE(F127, """"), EQ(G127, """")), 1, 0))"),0.0)</f>
        <v>0</v>
      </c>
      <c r="P127" s="6">
        <f>IFERROR(__xludf.DUMMYFUNCTION("IF(REGEXMATCH(A127, ""^00-""), 0, IF(AND(EQ(F127, """"), NE(G127, """")), 1, 0))"),0.0)</f>
        <v>0</v>
      </c>
      <c r="Q127" s="6">
        <f>IFERROR(__xludf.DUMMYFUNCTION("IF(REGEXMATCH(A127, ""^00-""), 0, IF(AND(NE(F127, """"), NE(G127, """")), 1, 0))"),1.0)</f>
        <v>1</v>
      </c>
      <c r="R127" s="6">
        <f t="shared" si="1"/>
        <v>1</v>
      </c>
    </row>
    <row r="128">
      <c r="A128" s="1" t="s">
        <v>19</v>
      </c>
      <c r="B128" s="1" t="s">
        <v>539</v>
      </c>
      <c r="C128" s="1">
        <v>511.0</v>
      </c>
      <c r="D128" s="1">
        <v>21.0</v>
      </c>
      <c r="E128" s="1">
        <v>532.0</v>
      </c>
      <c r="F128" s="1" t="s">
        <v>540</v>
      </c>
      <c r="G128" s="1" t="s">
        <v>541</v>
      </c>
      <c r="H128" s="1" t="s">
        <v>182</v>
      </c>
      <c r="I128" s="1" t="s">
        <v>172</v>
      </c>
      <c r="J128" s="1" t="s">
        <v>414</v>
      </c>
      <c r="K128" s="1" t="s">
        <v>184</v>
      </c>
      <c r="L128" s="1"/>
      <c r="M128" s="1" t="s">
        <v>257</v>
      </c>
      <c r="N128" s="6">
        <f>IFERROR(__xludf.DUMMYFUNCTION("IF(REGEXMATCH(A128, ""^00-""), 0, IF(AND(EQ(F128, """"), EQ(G128, """")), 1, 0))"),0.0)</f>
        <v>0</v>
      </c>
      <c r="O128" s="6">
        <f>IFERROR(__xludf.DUMMYFUNCTION("IF(REGEXMATCH(A128, ""^00-""), 0, IF(AND(NE(F128, """"), EQ(G128, """")), 1, 0))"),0.0)</f>
        <v>0</v>
      </c>
      <c r="P128" s="6">
        <f>IFERROR(__xludf.DUMMYFUNCTION("IF(REGEXMATCH(A128, ""^00-""), 0, IF(AND(EQ(F128, """"), NE(G128, """")), 1, 0))"),0.0)</f>
        <v>0</v>
      </c>
      <c r="Q128" s="6">
        <f>IFERROR(__xludf.DUMMYFUNCTION("IF(REGEXMATCH(A128, ""^00-""), 0, IF(AND(NE(F128, """"), NE(G128, """")), 1, 0))"),1.0)</f>
        <v>1</v>
      </c>
      <c r="R128" s="6">
        <f t="shared" si="1"/>
        <v>1</v>
      </c>
    </row>
    <row r="129">
      <c r="A129" s="1" t="s">
        <v>19</v>
      </c>
      <c r="B129" s="1" t="s">
        <v>542</v>
      </c>
      <c r="C129" s="1">
        <v>498.0</v>
      </c>
      <c r="D129" s="1">
        <v>34.0</v>
      </c>
      <c r="E129" s="1">
        <v>532.0</v>
      </c>
      <c r="F129" s="1" t="s">
        <v>543</v>
      </c>
      <c r="G129" s="1" t="s">
        <v>544</v>
      </c>
      <c r="H129" s="1" t="s">
        <v>182</v>
      </c>
      <c r="I129" s="1" t="s">
        <v>172</v>
      </c>
      <c r="J129" s="1" t="s">
        <v>414</v>
      </c>
      <c r="K129" s="1" t="s">
        <v>184</v>
      </c>
      <c r="L129" s="1"/>
      <c r="M129" s="1" t="s">
        <v>257</v>
      </c>
      <c r="N129" s="6">
        <f>IFERROR(__xludf.DUMMYFUNCTION("IF(REGEXMATCH(A129, ""^00-""), 0, IF(AND(EQ(F129, """"), EQ(G129, """")), 1, 0))"),0.0)</f>
        <v>0</v>
      </c>
      <c r="O129" s="6">
        <f>IFERROR(__xludf.DUMMYFUNCTION("IF(REGEXMATCH(A129, ""^00-""), 0, IF(AND(NE(F129, """"), EQ(G129, """")), 1, 0))"),0.0)</f>
        <v>0</v>
      </c>
      <c r="P129" s="6">
        <f>IFERROR(__xludf.DUMMYFUNCTION("IF(REGEXMATCH(A129, ""^00-""), 0, IF(AND(EQ(F129, """"), NE(G129, """")), 1, 0))"),0.0)</f>
        <v>0</v>
      </c>
      <c r="Q129" s="6">
        <f>IFERROR(__xludf.DUMMYFUNCTION("IF(REGEXMATCH(A129, ""^00-""), 0, IF(AND(NE(F129, """"), NE(G129, """")), 1, 0))"),1.0)</f>
        <v>1</v>
      </c>
      <c r="R129" s="6">
        <f t="shared" si="1"/>
        <v>1</v>
      </c>
    </row>
    <row r="130">
      <c r="A130" s="1" t="s">
        <v>19</v>
      </c>
      <c r="B130" s="1" t="s">
        <v>545</v>
      </c>
      <c r="C130" s="1">
        <v>467.0</v>
      </c>
      <c r="D130" s="1">
        <v>65.0</v>
      </c>
      <c r="E130" s="1">
        <v>532.0</v>
      </c>
      <c r="F130" s="1" t="s">
        <v>546</v>
      </c>
      <c r="G130" s="1" t="s">
        <v>547</v>
      </c>
      <c r="H130" s="1" t="s">
        <v>182</v>
      </c>
      <c r="I130" s="1" t="s">
        <v>172</v>
      </c>
      <c r="J130" s="1" t="s">
        <v>414</v>
      </c>
      <c r="K130" s="1" t="s">
        <v>184</v>
      </c>
      <c r="L130" s="1"/>
      <c r="M130" s="1" t="s">
        <v>257</v>
      </c>
      <c r="N130" s="6">
        <f>IFERROR(__xludf.DUMMYFUNCTION("IF(REGEXMATCH(A130, ""^00-""), 0, IF(AND(EQ(F130, """"), EQ(G130, """")), 1, 0))"),0.0)</f>
        <v>0</v>
      </c>
      <c r="O130" s="6">
        <f>IFERROR(__xludf.DUMMYFUNCTION("IF(REGEXMATCH(A130, ""^00-""), 0, IF(AND(NE(F130, """"), EQ(G130, """")), 1, 0))"),0.0)</f>
        <v>0</v>
      </c>
      <c r="P130" s="6">
        <f>IFERROR(__xludf.DUMMYFUNCTION("IF(REGEXMATCH(A130, ""^00-""), 0, IF(AND(EQ(F130, """"), NE(G130, """")), 1, 0))"),0.0)</f>
        <v>0</v>
      </c>
      <c r="Q130" s="6">
        <f>IFERROR(__xludf.DUMMYFUNCTION("IF(REGEXMATCH(A130, ""^00-""), 0, IF(AND(NE(F130, """"), NE(G130, """")), 1, 0))"),1.0)</f>
        <v>1</v>
      </c>
      <c r="R130" s="6">
        <f t="shared" si="1"/>
        <v>1</v>
      </c>
    </row>
    <row r="131">
      <c r="A131" s="1" t="s">
        <v>19</v>
      </c>
      <c r="B131" s="1" t="s">
        <v>548</v>
      </c>
      <c r="C131" s="1">
        <v>495.0</v>
      </c>
      <c r="D131" s="1">
        <v>37.0</v>
      </c>
      <c r="E131" s="1">
        <v>532.0</v>
      </c>
      <c r="F131" s="1" t="s">
        <v>549</v>
      </c>
      <c r="G131" s="1" t="s">
        <v>550</v>
      </c>
      <c r="H131" s="1" t="s">
        <v>182</v>
      </c>
      <c r="I131" s="1" t="s">
        <v>172</v>
      </c>
      <c r="J131" s="1" t="s">
        <v>414</v>
      </c>
      <c r="K131" s="1" t="s">
        <v>184</v>
      </c>
      <c r="L131" s="1"/>
      <c r="M131" s="1" t="s">
        <v>257</v>
      </c>
      <c r="N131" s="6">
        <f>IFERROR(__xludf.DUMMYFUNCTION("IF(REGEXMATCH(A131, ""^00-""), 0, IF(AND(EQ(F131, """"), EQ(G131, """")), 1, 0))"),0.0)</f>
        <v>0</v>
      </c>
      <c r="O131" s="6">
        <f>IFERROR(__xludf.DUMMYFUNCTION("IF(REGEXMATCH(A131, ""^00-""), 0, IF(AND(NE(F131, """"), EQ(G131, """")), 1, 0))"),0.0)</f>
        <v>0</v>
      </c>
      <c r="P131" s="6">
        <f>IFERROR(__xludf.DUMMYFUNCTION("IF(REGEXMATCH(A131, ""^00-""), 0, IF(AND(EQ(F131, """"), NE(G131, """")), 1, 0))"),0.0)</f>
        <v>0</v>
      </c>
      <c r="Q131" s="6">
        <f>IFERROR(__xludf.DUMMYFUNCTION("IF(REGEXMATCH(A131, ""^00-""), 0, IF(AND(NE(F131, """"), NE(G131, """")), 1, 0))"),1.0)</f>
        <v>1</v>
      </c>
      <c r="R131" s="6">
        <f t="shared" si="1"/>
        <v>1</v>
      </c>
    </row>
    <row r="132">
      <c r="A132" s="1" t="s">
        <v>19</v>
      </c>
      <c r="B132" s="1" t="s">
        <v>551</v>
      </c>
      <c r="C132" s="1">
        <v>363.0</v>
      </c>
      <c r="D132" s="1">
        <v>169.0</v>
      </c>
      <c r="E132" s="1">
        <v>532.0</v>
      </c>
      <c r="F132" s="1"/>
      <c r="G132" s="1" t="s">
        <v>551</v>
      </c>
      <c r="H132" s="1" t="s">
        <v>190</v>
      </c>
      <c r="I132" s="1" t="s">
        <v>172</v>
      </c>
      <c r="J132" s="1" t="s">
        <v>414</v>
      </c>
      <c r="K132" s="1" t="s">
        <v>184</v>
      </c>
      <c r="L132" s="1"/>
      <c r="M132" s="1" t="s">
        <v>191</v>
      </c>
      <c r="N132" s="6">
        <f>IFERROR(__xludf.DUMMYFUNCTION("IF(REGEXMATCH(A132, ""^00-""), 0, IF(AND(EQ(F132, """"), EQ(G132, """")), 1, 0))"),0.0)</f>
        <v>0</v>
      </c>
      <c r="O132" s="6">
        <f>IFERROR(__xludf.DUMMYFUNCTION("IF(REGEXMATCH(A132, ""^00-""), 0, IF(AND(NE(F132, """"), EQ(G132, """")), 1, 0))"),0.0)</f>
        <v>0</v>
      </c>
      <c r="P132" s="6">
        <f>IFERROR(__xludf.DUMMYFUNCTION("IF(REGEXMATCH(A132, ""^00-""), 0, IF(AND(EQ(F132, """"), NE(G132, """")), 1, 0))"),1.0)</f>
        <v>1</v>
      </c>
      <c r="Q132" s="6">
        <f>IFERROR(__xludf.DUMMYFUNCTION("IF(REGEXMATCH(A132, ""^00-""), 0, IF(AND(NE(F132, """"), NE(G132, """")), 1, 0))"),0.0)</f>
        <v>0</v>
      </c>
      <c r="R132" s="6">
        <f t="shared" si="1"/>
        <v>1</v>
      </c>
    </row>
    <row r="133">
      <c r="A133" s="1" t="s">
        <v>19</v>
      </c>
      <c r="B133" s="1" t="s">
        <v>552</v>
      </c>
      <c r="C133" s="1">
        <v>324.0</v>
      </c>
      <c r="D133" s="1">
        <v>208.0</v>
      </c>
      <c r="E133" s="1">
        <v>532.0</v>
      </c>
      <c r="F133" s="1"/>
      <c r="G133" s="1" t="s">
        <v>553</v>
      </c>
      <c r="H133" s="1" t="s">
        <v>190</v>
      </c>
      <c r="I133" s="1" t="s">
        <v>172</v>
      </c>
      <c r="J133" s="1" t="s">
        <v>414</v>
      </c>
      <c r="K133" s="1" t="s">
        <v>184</v>
      </c>
      <c r="L133" s="1"/>
      <c r="M133" s="1" t="s">
        <v>191</v>
      </c>
      <c r="N133" s="6">
        <f>IFERROR(__xludf.DUMMYFUNCTION("IF(REGEXMATCH(A133, ""^00-""), 0, IF(AND(EQ(F133, """"), EQ(G133, """")), 1, 0))"),0.0)</f>
        <v>0</v>
      </c>
      <c r="O133" s="6">
        <f>IFERROR(__xludf.DUMMYFUNCTION("IF(REGEXMATCH(A133, ""^00-""), 0, IF(AND(NE(F133, """"), EQ(G133, """")), 1, 0))"),0.0)</f>
        <v>0</v>
      </c>
      <c r="P133" s="6">
        <f>IFERROR(__xludf.DUMMYFUNCTION("IF(REGEXMATCH(A133, ""^00-""), 0, IF(AND(EQ(F133, """"), NE(G133, """")), 1, 0))"),1.0)</f>
        <v>1</v>
      </c>
      <c r="Q133" s="6">
        <f>IFERROR(__xludf.DUMMYFUNCTION("IF(REGEXMATCH(A133, ""^00-""), 0, IF(AND(NE(F133, """"), NE(G133, """")), 1, 0))"),0.0)</f>
        <v>0</v>
      </c>
      <c r="R133" s="6">
        <f t="shared" si="1"/>
        <v>1</v>
      </c>
    </row>
    <row r="134">
      <c r="A134" s="1" t="s">
        <v>19</v>
      </c>
      <c r="B134" s="1" t="s">
        <v>554</v>
      </c>
      <c r="C134" s="1">
        <v>324.0</v>
      </c>
      <c r="D134" s="1">
        <v>208.0</v>
      </c>
      <c r="E134" s="1">
        <v>532.0</v>
      </c>
      <c r="F134" s="1"/>
      <c r="G134" s="1" t="s">
        <v>555</v>
      </c>
      <c r="H134" s="1" t="s">
        <v>190</v>
      </c>
      <c r="I134" s="1" t="s">
        <v>172</v>
      </c>
      <c r="J134" s="1" t="s">
        <v>414</v>
      </c>
      <c r="K134" s="1" t="s">
        <v>184</v>
      </c>
      <c r="L134" s="1"/>
      <c r="M134" s="1" t="s">
        <v>191</v>
      </c>
      <c r="N134" s="6">
        <f>IFERROR(__xludf.DUMMYFUNCTION("IF(REGEXMATCH(A134, ""^00-""), 0, IF(AND(EQ(F134, """"), EQ(G134, """")), 1, 0))"),0.0)</f>
        <v>0</v>
      </c>
      <c r="O134" s="6">
        <f>IFERROR(__xludf.DUMMYFUNCTION("IF(REGEXMATCH(A134, ""^00-""), 0, IF(AND(NE(F134, """"), EQ(G134, """")), 1, 0))"),0.0)</f>
        <v>0</v>
      </c>
      <c r="P134" s="6">
        <f>IFERROR(__xludf.DUMMYFUNCTION("IF(REGEXMATCH(A134, ""^00-""), 0, IF(AND(EQ(F134, """"), NE(G134, """")), 1, 0))"),1.0)</f>
        <v>1</v>
      </c>
      <c r="Q134" s="6">
        <f>IFERROR(__xludf.DUMMYFUNCTION("IF(REGEXMATCH(A134, ""^00-""), 0, IF(AND(NE(F134, """"), NE(G134, """")), 1, 0))"),0.0)</f>
        <v>0</v>
      </c>
      <c r="R134" s="6">
        <f t="shared" si="1"/>
        <v>1</v>
      </c>
    </row>
    <row r="135">
      <c r="A135" s="1" t="s">
        <v>19</v>
      </c>
      <c r="B135" s="1" t="s">
        <v>556</v>
      </c>
      <c r="C135" s="1">
        <v>361.0</v>
      </c>
      <c r="D135" s="1">
        <v>171.0</v>
      </c>
      <c r="E135" s="1">
        <v>532.0</v>
      </c>
      <c r="F135" s="1"/>
      <c r="G135" s="1" t="s">
        <v>557</v>
      </c>
      <c r="H135" s="1" t="s">
        <v>190</v>
      </c>
      <c r="I135" s="1" t="s">
        <v>172</v>
      </c>
      <c r="J135" s="1" t="s">
        <v>414</v>
      </c>
      <c r="K135" s="1" t="s">
        <v>184</v>
      </c>
      <c r="L135" s="1"/>
      <c r="M135" s="1" t="s">
        <v>191</v>
      </c>
      <c r="N135" s="6">
        <f>IFERROR(__xludf.DUMMYFUNCTION("IF(REGEXMATCH(A135, ""^00-""), 0, IF(AND(EQ(F135, """"), EQ(G135, """")), 1, 0))"),0.0)</f>
        <v>0</v>
      </c>
      <c r="O135" s="6">
        <f>IFERROR(__xludf.DUMMYFUNCTION("IF(REGEXMATCH(A135, ""^00-""), 0, IF(AND(NE(F135, """"), EQ(G135, """")), 1, 0))"),0.0)</f>
        <v>0</v>
      </c>
      <c r="P135" s="6">
        <f>IFERROR(__xludf.DUMMYFUNCTION("IF(REGEXMATCH(A135, ""^00-""), 0, IF(AND(EQ(F135, """"), NE(G135, """")), 1, 0))"),1.0)</f>
        <v>1</v>
      </c>
      <c r="Q135" s="6">
        <f>IFERROR(__xludf.DUMMYFUNCTION("IF(REGEXMATCH(A135, ""^00-""), 0, IF(AND(NE(F135, """"), NE(G135, """")), 1, 0))"),0.0)</f>
        <v>0</v>
      </c>
      <c r="R135" s="6">
        <f t="shared" si="1"/>
        <v>1</v>
      </c>
    </row>
    <row r="136">
      <c r="A136" s="1" t="s">
        <v>19</v>
      </c>
      <c r="B136" s="1" t="s">
        <v>558</v>
      </c>
      <c r="C136" s="1">
        <v>351.0</v>
      </c>
      <c r="D136" s="1">
        <v>181.0</v>
      </c>
      <c r="E136" s="1">
        <v>532.0</v>
      </c>
      <c r="F136" s="1"/>
      <c r="G136" s="1" t="s">
        <v>559</v>
      </c>
      <c r="H136" s="1" t="s">
        <v>182</v>
      </c>
      <c r="I136" s="1" t="s">
        <v>172</v>
      </c>
      <c r="J136" s="1" t="s">
        <v>414</v>
      </c>
      <c r="K136" s="1" t="s">
        <v>184</v>
      </c>
      <c r="L136" s="1"/>
      <c r="M136" s="1" t="s">
        <v>257</v>
      </c>
      <c r="N136" s="6">
        <f>IFERROR(__xludf.DUMMYFUNCTION("IF(REGEXMATCH(A136, ""^00-""), 0, IF(AND(EQ(F136, """"), EQ(G136, """")), 1, 0))"),0.0)</f>
        <v>0</v>
      </c>
      <c r="O136" s="6">
        <f>IFERROR(__xludf.DUMMYFUNCTION("IF(REGEXMATCH(A136, ""^00-""), 0, IF(AND(NE(F136, """"), EQ(G136, """")), 1, 0))"),0.0)</f>
        <v>0</v>
      </c>
      <c r="P136" s="6">
        <f>IFERROR(__xludf.DUMMYFUNCTION("IF(REGEXMATCH(A136, ""^00-""), 0, IF(AND(EQ(F136, """"), NE(G136, """")), 1, 0))"),1.0)</f>
        <v>1</v>
      </c>
      <c r="Q136" s="6">
        <f>IFERROR(__xludf.DUMMYFUNCTION("IF(REGEXMATCH(A136, ""^00-""), 0, IF(AND(NE(F136, """"), NE(G136, """")), 1, 0))"),0.0)</f>
        <v>0</v>
      </c>
      <c r="R136" s="6">
        <f t="shared" si="1"/>
        <v>1</v>
      </c>
    </row>
    <row r="137">
      <c r="A137" s="1" t="s">
        <v>19</v>
      </c>
      <c r="B137" s="1" t="s">
        <v>560</v>
      </c>
      <c r="C137" s="1">
        <v>351.0</v>
      </c>
      <c r="D137" s="1">
        <v>181.0</v>
      </c>
      <c r="E137" s="1">
        <v>532.0</v>
      </c>
      <c r="F137" s="1"/>
      <c r="G137" s="1" t="s">
        <v>561</v>
      </c>
      <c r="H137" s="1" t="s">
        <v>235</v>
      </c>
      <c r="I137" s="1" t="s">
        <v>172</v>
      </c>
      <c r="J137" s="1" t="s">
        <v>414</v>
      </c>
      <c r="K137" s="1" t="s">
        <v>184</v>
      </c>
      <c r="L137" s="1"/>
      <c r="M137" s="1" t="s">
        <v>562</v>
      </c>
      <c r="N137" s="6">
        <f>IFERROR(__xludf.DUMMYFUNCTION("IF(REGEXMATCH(A137, ""^00-""), 0, IF(AND(EQ(F137, """"), EQ(G137, """")), 1, 0))"),0.0)</f>
        <v>0</v>
      </c>
      <c r="O137" s="6">
        <f>IFERROR(__xludf.DUMMYFUNCTION("IF(REGEXMATCH(A137, ""^00-""), 0, IF(AND(NE(F137, """"), EQ(G137, """")), 1, 0))"),0.0)</f>
        <v>0</v>
      </c>
      <c r="P137" s="6">
        <f>IFERROR(__xludf.DUMMYFUNCTION("IF(REGEXMATCH(A137, ""^00-""), 0, IF(AND(EQ(F137, """"), NE(G137, """")), 1, 0))"),1.0)</f>
        <v>1</v>
      </c>
      <c r="Q137" s="6">
        <f>IFERROR(__xludf.DUMMYFUNCTION("IF(REGEXMATCH(A137, ""^00-""), 0, IF(AND(NE(F137, """"), NE(G137, """")), 1, 0))"),0.0)</f>
        <v>0</v>
      </c>
      <c r="R137" s="6">
        <f t="shared" si="1"/>
        <v>1</v>
      </c>
    </row>
    <row r="138">
      <c r="A138" s="1" t="s">
        <v>19</v>
      </c>
      <c r="B138" s="1" t="s">
        <v>563</v>
      </c>
      <c r="C138" s="1">
        <v>363.0</v>
      </c>
      <c r="D138" s="1">
        <v>169.0</v>
      </c>
      <c r="E138" s="1">
        <v>532.0</v>
      </c>
      <c r="F138" s="1"/>
      <c r="G138" s="1" t="s">
        <v>564</v>
      </c>
      <c r="H138" s="1" t="s">
        <v>182</v>
      </c>
      <c r="I138" s="1" t="s">
        <v>172</v>
      </c>
      <c r="J138" s="1" t="s">
        <v>414</v>
      </c>
      <c r="K138" s="1" t="s">
        <v>184</v>
      </c>
      <c r="L138" s="1"/>
      <c r="M138" s="1" t="s">
        <v>257</v>
      </c>
      <c r="N138" s="6">
        <f>IFERROR(__xludf.DUMMYFUNCTION("IF(REGEXMATCH(A138, ""^00-""), 0, IF(AND(EQ(F138, """"), EQ(G138, """")), 1, 0))"),0.0)</f>
        <v>0</v>
      </c>
      <c r="O138" s="6">
        <f>IFERROR(__xludf.DUMMYFUNCTION("IF(REGEXMATCH(A138, ""^00-""), 0, IF(AND(NE(F138, """"), EQ(G138, """")), 1, 0))"),0.0)</f>
        <v>0</v>
      </c>
      <c r="P138" s="6">
        <f>IFERROR(__xludf.DUMMYFUNCTION("IF(REGEXMATCH(A138, ""^00-""), 0, IF(AND(EQ(F138, """"), NE(G138, """")), 1, 0))"),1.0)</f>
        <v>1</v>
      </c>
      <c r="Q138" s="6">
        <f>IFERROR(__xludf.DUMMYFUNCTION("IF(REGEXMATCH(A138, ""^00-""), 0, IF(AND(NE(F138, """"), NE(G138, """")), 1, 0))"),0.0)</f>
        <v>0</v>
      </c>
      <c r="R138" s="6">
        <f t="shared" si="1"/>
        <v>1</v>
      </c>
    </row>
    <row r="139">
      <c r="A139" s="1" t="s">
        <v>19</v>
      </c>
      <c r="B139" s="1" t="s">
        <v>565</v>
      </c>
      <c r="C139" s="1">
        <v>363.0</v>
      </c>
      <c r="D139" s="1">
        <v>169.0</v>
      </c>
      <c r="E139" s="1">
        <v>532.0</v>
      </c>
      <c r="F139" s="1"/>
      <c r="G139" s="1" t="s">
        <v>566</v>
      </c>
      <c r="H139" s="1" t="s">
        <v>235</v>
      </c>
      <c r="I139" s="1" t="s">
        <v>172</v>
      </c>
      <c r="J139" s="1" t="s">
        <v>414</v>
      </c>
      <c r="K139" s="1" t="s">
        <v>184</v>
      </c>
      <c r="L139" s="1"/>
      <c r="M139" s="1" t="s">
        <v>562</v>
      </c>
      <c r="N139" s="6">
        <f>IFERROR(__xludf.DUMMYFUNCTION("IF(REGEXMATCH(A139, ""^00-""), 0, IF(AND(EQ(F139, """"), EQ(G139, """")), 1, 0))"),0.0)</f>
        <v>0</v>
      </c>
      <c r="O139" s="6">
        <f>IFERROR(__xludf.DUMMYFUNCTION("IF(REGEXMATCH(A139, ""^00-""), 0, IF(AND(NE(F139, """"), EQ(G139, """")), 1, 0))"),0.0)</f>
        <v>0</v>
      </c>
      <c r="P139" s="6">
        <f>IFERROR(__xludf.DUMMYFUNCTION("IF(REGEXMATCH(A139, ""^00-""), 0, IF(AND(EQ(F139, """"), NE(G139, """")), 1, 0))"),1.0)</f>
        <v>1</v>
      </c>
      <c r="Q139" s="6">
        <f>IFERROR(__xludf.DUMMYFUNCTION("IF(REGEXMATCH(A139, ""^00-""), 0, IF(AND(NE(F139, """"), NE(G139, """")), 1, 0))"),0.0)</f>
        <v>0</v>
      </c>
      <c r="R139" s="6">
        <f t="shared" si="1"/>
        <v>1</v>
      </c>
    </row>
    <row r="140">
      <c r="A140" s="1" t="s">
        <v>19</v>
      </c>
      <c r="B140" s="1" t="s">
        <v>567</v>
      </c>
      <c r="C140" s="1">
        <v>532.0</v>
      </c>
      <c r="D140" s="1">
        <v>0.0</v>
      </c>
      <c r="E140" s="1">
        <v>532.0</v>
      </c>
      <c r="F140" s="1" t="s">
        <v>568</v>
      </c>
      <c r="G140" s="1" t="s">
        <v>569</v>
      </c>
      <c r="H140" s="1" t="s">
        <v>250</v>
      </c>
      <c r="I140" s="1" t="s">
        <v>172</v>
      </c>
      <c r="J140" s="1" t="s">
        <v>414</v>
      </c>
      <c r="K140" s="1" t="s">
        <v>184</v>
      </c>
      <c r="L140" s="1"/>
      <c r="M140" s="1" t="s">
        <v>250</v>
      </c>
      <c r="N140" s="6">
        <f>IFERROR(__xludf.DUMMYFUNCTION("IF(REGEXMATCH(A140, ""^00-""), 0, IF(AND(EQ(F140, """"), EQ(G140, """")), 1, 0))"),0.0)</f>
        <v>0</v>
      </c>
      <c r="O140" s="6">
        <f>IFERROR(__xludf.DUMMYFUNCTION("IF(REGEXMATCH(A140, ""^00-""), 0, IF(AND(NE(F140, """"), EQ(G140, """")), 1, 0))"),0.0)</f>
        <v>0</v>
      </c>
      <c r="P140" s="6">
        <f>IFERROR(__xludf.DUMMYFUNCTION("IF(REGEXMATCH(A140, ""^00-""), 0, IF(AND(EQ(F140, """"), NE(G140, """")), 1, 0))"),0.0)</f>
        <v>0</v>
      </c>
      <c r="Q140" s="6">
        <f>IFERROR(__xludf.DUMMYFUNCTION("IF(REGEXMATCH(A140, ""^00-""), 0, IF(AND(NE(F140, """"), NE(G140, """")), 1, 0))"),1.0)</f>
        <v>1</v>
      </c>
      <c r="R140" s="6">
        <f t="shared" si="1"/>
        <v>1</v>
      </c>
    </row>
    <row r="141">
      <c r="A141" s="1" t="s">
        <v>19</v>
      </c>
      <c r="B141" s="1" t="s">
        <v>570</v>
      </c>
      <c r="C141" s="1">
        <v>532.0</v>
      </c>
      <c r="D141" s="1">
        <v>0.0</v>
      </c>
      <c r="E141" s="1">
        <v>532.0</v>
      </c>
      <c r="F141" s="1" t="s">
        <v>571</v>
      </c>
      <c r="G141" s="1" t="s">
        <v>572</v>
      </c>
      <c r="H141" s="1" t="s">
        <v>254</v>
      </c>
      <c r="I141" s="1" t="s">
        <v>172</v>
      </c>
      <c r="J141" s="1" t="s">
        <v>414</v>
      </c>
      <c r="K141" s="1" t="s">
        <v>184</v>
      </c>
      <c r="L141" s="1"/>
      <c r="M141" s="1" t="s">
        <v>254</v>
      </c>
      <c r="N141" s="6">
        <f>IFERROR(__xludf.DUMMYFUNCTION("IF(REGEXMATCH(A141, ""^00-""), 0, IF(AND(EQ(F141, """"), EQ(G141, """")), 1, 0))"),0.0)</f>
        <v>0</v>
      </c>
      <c r="O141" s="6">
        <f>IFERROR(__xludf.DUMMYFUNCTION("IF(REGEXMATCH(A141, ""^00-""), 0, IF(AND(NE(F141, """"), EQ(G141, """")), 1, 0))"),0.0)</f>
        <v>0</v>
      </c>
      <c r="P141" s="6">
        <f>IFERROR(__xludf.DUMMYFUNCTION("IF(REGEXMATCH(A141, ""^00-""), 0, IF(AND(EQ(F141, """"), NE(G141, """")), 1, 0))"),0.0)</f>
        <v>0</v>
      </c>
      <c r="Q141" s="6">
        <f>IFERROR(__xludf.DUMMYFUNCTION("IF(REGEXMATCH(A141, ""^00-""), 0, IF(AND(NE(F141, """"), NE(G141, """")), 1, 0))"),1.0)</f>
        <v>1</v>
      </c>
      <c r="R141" s="6">
        <f t="shared" si="1"/>
        <v>1</v>
      </c>
    </row>
    <row r="142">
      <c r="A142" s="1" t="s">
        <v>22</v>
      </c>
      <c r="B142" s="1" t="s">
        <v>573</v>
      </c>
      <c r="C142" s="1">
        <v>364.0</v>
      </c>
      <c r="D142" s="1">
        <v>155.0</v>
      </c>
      <c r="E142" s="1">
        <v>519.0</v>
      </c>
      <c r="F142" s="1"/>
      <c r="G142" s="1" t="s">
        <v>574</v>
      </c>
      <c r="H142" s="1" t="s">
        <v>235</v>
      </c>
      <c r="I142" s="1" t="s">
        <v>172</v>
      </c>
      <c r="J142" s="1" t="s">
        <v>575</v>
      </c>
      <c r="K142" s="1" t="s">
        <v>184</v>
      </c>
      <c r="L142" s="1"/>
      <c r="M142" s="1" t="s">
        <v>576</v>
      </c>
      <c r="N142" s="6">
        <f>IFERROR(__xludf.DUMMYFUNCTION("IF(REGEXMATCH(A142, ""^00-""), 0, IF(AND(EQ(F142, """"), EQ(G142, """")), 1, 0))"),0.0)</f>
        <v>0</v>
      </c>
      <c r="O142" s="6">
        <f>IFERROR(__xludf.DUMMYFUNCTION("IF(REGEXMATCH(A142, ""^00-""), 0, IF(AND(NE(F142, """"), EQ(G142, """")), 1, 0))"),0.0)</f>
        <v>0</v>
      </c>
      <c r="P142" s="6">
        <f>IFERROR(__xludf.DUMMYFUNCTION("IF(REGEXMATCH(A142, ""^00-""), 0, IF(AND(EQ(F142, """"), NE(G142, """")), 1, 0))"),1.0)</f>
        <v>1</v>
      </c>
      <c r="Q142" s="6">
        <f>IFERROR(__xludf.DUMMYFUNCTION("IF(REGEXMATCH(A142, ""^00-""), 0, IF(AND(NE(F142, """"), NE(G142, """")), 1, 0))"),0.0)</f>
        <v>0</v>
      </c>
      <c r="R142" s="6">
        <f t="shared" si="1"/>
        <v>1</v>
      </c>
    </row>
    <row r="143">
      <c r="A143" s="1" t="s">
        <v>22</v>
      </c>
      <c r="B143" s="1" t="s">
        <v>577</v>
      </c>
      <c r="C143" s="1">
        <v>364.0</v>
      </c>
      <c r="D143" s="1">
        <v>155.0</v>
      </c>
      <c r="E143" s="1">
        <v>519.0</v>
      </c>
      <c r="F143" s="1"/>
      <c r="G143" s="1" t="s">
        <v>578</v>
      </c>
      <c r="H143" s="1" t="s">
        <v>190</v>
      </c>
      <c r="I143" s="1" t="s">
        <v>172</v>
      </c>
      <c r="J143" s="1" t="s">
        <v>575</v>
      </c>
      <c r="K143" s="1" t="s">
        <v>184</v>
      </c>
      <c r="L143" s="1"/>
      <c r="M143" s="1" t="s">
        <v>191</v>
      </c>
      <c r="N143" s="6">
        <f>IFERROR(__xludf.DUMMYFUNCTION("IF(REGEXMATCH(A143, ""^00-""), 0, IF(AND(EQ(F143, """"), EQ(G143, """")), 1, 0))"),0.0)</f>
        <v>0</v>
      </c>
      <c r="O143" s="6">
        <f>IFERROR(__xludf.DUMMYFUNCTION("IF(REGEXMATCH(A143, ""^00-""), 0, IF(AND(NE(F143, """"), EQ(G143, """")), 1, 0))"),0.0)</f>
        <v>0</v>
      </c>
      <c r="P143" s="6">
        <f>IFERROR(__xludf.DUMMYFUNCTION("IF(REGEXMATCH(A143, ""^00-""), 0, IF(AND(EQ(F143, """"), NE(G143, """")), 1, 0))"),1.0)</f>
        <v>1</v>
      </c>
      <c r="Q143" s="6">
        <f>IFERROR(__xludf.DUMMYFUNCTION("IF(REGEXMATCH(A143, ""^00-""), 0, IF(AND(NE(F143, """"), NE(G143, """")), 1, 0))"),0.0)</f>
        <v>0</v>
      </c>
      <c r="R143" s="6">
        <f t="shared" si="1"/>
        <v>1</v>
      </c>
    </row>
    <row r="144">
      <c r="A144" s="1" t="s">
        <v>22</v>
      </c>
      <c r="B144" s="1" t="s">
        <v>579</v>
      </c>
      <c r="C144" s="1">
        <v>252.0</v>
      </c>
      <c r="D144" s="1">
        <v>267.0</v>
      </c>
      <c r="E144" s="1">
        <v>519.0</v>
      </c>
      <c r="F144" s="1"/>
      <c r="G144" s="1" t="s">
        <v>580</v>
      </c>
      <c r="H144" s="1" t="s">
        <v>190</v>
      </c>
      <c r="I144" s="1" t="s">
        <v>172</v>
      </c>
      <c r="J144" s="1" t="s">
        <v>575</v>
      </c>
      <c r="K144" s="1" t="s">
        <v>184</v>
      </c>
      <c r="L144" s="1"/>
      <c r="M144" s="1" t="s">
        <v>191</v>
      </c>
      <c r="N144" s="6">
        <f>IFERROR(__xludf.DUMMYFUNCTION("IF(REGEXMATCH(A144, ""^00-""), 0, IF(AND(EQ(F144, """"), EQ(G144, """")), 1, 0))"),0.0)</f>
        <v>0</v>
      </c>
      <c r="O144" s="6">
        <f>IFERROR(__xludf.DUMMYFUNCTION("IF(REGEXMATCH(A144, ""^00-""), 0, IF(AND(NE(F144, """"), EQ(G144, """")), 1, 0))"),0.0)</f>
        <v>0</v>
      </c>
      <c r="P144" s="6">
        <f>IFERROR(__xludf.DUMMYFUNCTION("IF(REGEXMATCH(A144, ""^00-""), 0, IF(AND(EQ(F144, """"), NE(G144, """")), 1, 0))"),1.0)</f>
        <v>1</v>
      </c>
      <c r="Q144" s="6">
        <f>IFERROR(__xludf.DUMMYFUNCTION("IF(REGEXMATCH(A144, ""^00-""), 0, IF(AND(NE(F144, """"), NE(G144, """")), 1, 0))"),0.0)</f>
        <v>0</v>
      </c>
      <c r="R144" s="6">
        <f t="shared" si="1"/>
        <v>1</v>
      </c>
    </row>
    <row r="145">
      <c r="A145" s="1" t="s">
        <v>22</v>
      </c>
      <c r="B145" s="1" t="s">
        <v>581</v>
      </c>
      <c r="C145" s="1">
        <v>251.0</v>
      </c>
      <c r="D145" s="1">
        <v>268.0</v>
      </c>
      <c r="E145" s="1">
        <v>519.0</v>
      </c>
      <c r="F145" s="1"/>
      <c r="G145" s="1" t="s">
        <v>582</v>
      </c>
      <c r="H145" s="1" t="s">
        <v>190</v>
      </c>
      <c r="I145" s="1" t="s">
        <v>172</v>
      </c>
      <c r="J145" s="1" t="s">
        <v>575</v>
      </c>
      <c r="K145" s="1" t="s">
        <v>184</v>
      </c>
      <c r="L145" s="1"/>
      <c r="M145" s="1" t="s">
        <v>191</v>
      </c>
      <c r="N145" s="6">
        <f>IFERROR(__xludf.DUMMYFUNCTION("IF(REGEXMATCH(A145, ""^00-""), 0, IF(AND(EQ(F145, """"), EQ(G145, """")), 1, 0))"),0.0)</f>
        <v>0</v>
      </c>
      <c r="O145" s="6">
        <f>IFERROR(__xludf.DUMMYFUNCTION("IF(REGEXMATCH(A145, ""^00-""), 0, IF(AND(NE(F145, """"), EQ(G145, """")), 1, 0))"),0.0)</f>
        <v>0</v>
      </c>
      <c r="P145" s="6">
        <f>IFERROR(__xludf.DUMMYFUNCTION("IF(REGEXMATCH(A145, ""^00-""), 0, IF(AND(EQ(F145, """"), NE(G145, """")), 1, 0))"),1.0)</f>
        <v>1</v>
      </c>
      <c r="Q145" s="6">
        <f>IFERROR(__xludf.DUMMYFUNCTION("IF(REGEXMATCH(A145, ""^00-""), 0, IF(AND(NE(F145, """"), NE(G145, """")), 1, 0))"),0.0)</f>
        <v>0</v>
      </c>
      <c r="R145" s="6">
        <f t="shared" si="1"/>
        <v>1</v>
      </c>
    </row>
    <row r="146">
      <c r="A146" s="1" t="s">
        <v>22</v>
      </c>
      <c r="B146" s="1" t="s">
        <v>583</v>
      </c>
      <c r="C146" s="1">
        <v>252.0</v>
      </c>
      <c r="D146" s="1">
        <v>267.0</v>
      </c>
      <c r="E146" s="1">
        <v>519.0</v>
      </c>
      <c r="F146" s="1"/>
      <c r="G146" s="1" t="s">
        <v>584</v>
      </c>
      <c r="H146" s="1" t="s">
        <v>190</v>
      </c>
      <c r="I146" s="1" t="s">
        <v>172</v>
      </c>
      <c r="J146" s="1" t="s">
        <v>575</v>
      </c>
      <c r="K146" s="1" t="s">
        <v>184</v>
      </c>
      <c r="L146" s="1"/>
      <c r="M146" s="1" t="s">
        <v>191</v>
      </c>
      <c r="N146" s="6">
        <f>IFERROR(__xludf.DUMMYFUNCTION("IF(REGEXMATCH(A146, ""^00-""), 0, IF(AND(EQ(F146, """"), EQ(G146, """")), 1, 0))"),0.0)</f>
        <v>0</v>
      </c>
      <c r="O146" s="6">
        <f>IFERROR(__xludf.DUMMYFUNCTION("IF(REGEXMATCH(A146, ""^00-""), 0, IF(AND(NE(F146, """"), EQ(G146, """")), 1, 0))"),0.0)</f>
        <v>0</v>
      </c>
      <c r="P146" s="6">
        <f>IFERROR(__xludf.DUMMYFUNCTION("IF(REGEXMATCH(A146, ""^00-""), 0, IF(AND(EQ(F146, """"), NE(G146, """")), 1, 0))"),1.0)</f>
        <v>1</v>
      </c>
      <c r="Q146" s="6">
        <f>IFERROR(__xludf.DUMMYFUNCTION("IF(REGEXMATCH(A146, ""^00-""), 0, IF(AND(NE(F146, """"), NE(G146, """")), 1, 0))"),0.0)</f>
        <v>0</v>
      </c>
      <c r="R146" s="6">
        <f t="shared" si="1"/>
        <v>1</v>
      </c>
    </row>
    <row r="147">
      <c r="A147" s="1" t="s">
        <v>22</v>
      </c>
      <c r="B147" s="1" t="s">
        <v>585</v>
      </c>
      <c r="C147" s="1">
        <v>201.0</v>
      </c>
      <c r="D147" s="1">
        <v>318.0</v>
      </c>
      <c r="E147" s="1">
        <v>519.0</v>
      </c>
      <c r="F147" s="1"/>
      <c r="G147" s="1" t="s">
        <v>586</v>
      </c>
      <c r="H147" s="1" t="s">
        <v>250</v>
      </c>
      <c r="I147" s="1" t="s">
        <v>172</v>
      </c>
      <c r="J147" s="1" t="s">
        <v>575</v>
      </c>
      <c r="K147" s="1" t="s">
        <v>184</v>
      </c>
      <c r="L147" s="1"/>
      <c r="M147" s="1" t="s">
        <v>250</v>
      </c>
      <c r="N147" s="6">
        <f>IFERROR(__xludf.DUMMYFUNCTION("IF(REGEXMATCH(A147, ""^00-""), 0, IF(AND(EQ(F147, """"), EQ(G147, """")), 1, 0))"),0.0)</f>
        <v>0</v>
      </c>
      <c r="O147" s="6">
        <f>IFERROR(__xludf.DUMMYFUNCTION("IF(REGEXMATCH(A147, ""^00-""), 0, IF(AND(NE(F147, """"), EQ(G147, """")), 1, 0))"),0.0)</f>
        <v>0</v>
      </c>
      <c r="P147" s="6">
        <f>IFERROR(__xludf.DUMMYFUNCTION("IF(REGEXMATCH(A147, ""^00-""), 0, IF(AND(EQ(F147, """"), NE(G147, """")), 1, 0))"),1.0)</f>
        <v>1</v>
      </c>
      <c r="Q147" s="6">
        <f>IFERROR(__xludf.DUMMYFUNCTION("IF(REGEXMATCH(A147, ""^00-""), 0, IF(AND(NE(F147, """"), NE(G147, """")), 1, 0))"),0.0)</f>
        <v>0</v>
      </c>
      <c r="R147" s="6">
        <f t="shared" si="1"/>
        <v>1</v>
      </c>
    </row>
    <row r="148">
      <c r="A148" s="1" t="s">
        <v>22</v>
      </c>
      <c r="B148" s="1" t="s">
        <v>587</v>
      </c>
      <c r="C148" s="1">
        <v>200.0</v>
      </c>
      <c r="D148" s="1">
        <v>319.0</v>
      </c>
      <c r="E148" s="1">
        <v>519.0</v>
      </c>
      <c r="F148" s="1"/>
      <c r="G148" s="1" t="s">
        <v>588</v>
      </c>
      <c r="H148" s="1" t="s">
        <v>254</v>
      </c>
      <c r="I148" s="1" t="s">
        <v>172</v>
      </c>
      <c r="J148" s="1" t="s">
        <v>575</v>
      </c>
      <c r="K148" s="1" t="s">
        <v>184</v>
      </c>
      <c r="L148" s="1"/>
      <c r="M148" s="1" t="s">
        <v>254</v>
      </c>
      <c r="N148" s="6">
        <f>IFERROR(__xludf.DUMMYFUNCTION("IF(REGEXMATCH(A148, ""^00-""), 0, IF(AND(EQ(F148, """"), EQ(G148, """")), 1, 0))"),0.0)</f>
        <v>0</v>
      </c>
      <c r="O148" s="6">
        <f>IFERROR(__xludf.DUMMYFUNCTION("IF(REGEXMATCH(A148, ""^00-""), 0, IF(AND(NE(F148, """"), EQ(G148, """")), 1, 0))"),0.0)</f>
        <v>0</v>
      </c>
      <c r="P148" s="6">
        <f>IFERROR(__xludf.DUMMYFUNCTION("IF(REGEXMATCH(A148, ""^00-""), 0, IF(AND(EQ(F148, """"), NE(G148, """")), 1, 0))"),1.0)</f>
        <v>1</v>
      </c>
      <c r="Q148" s="6">
        <f>IFERROR(__xludf.DUMMYFUNCTION("IF(REGEXMATCH(A148, ""^00-""), 0, IF(AND(NE(F148, """"), NE(G148, """")), 1, 0))"),0.0)</f>
        <v>0</v>
      </c>
      <c r="R148" s="6">
        <f t="shared" si="1"/>
        <v>1</v>
      </c>
    </row>
    <row r="149">
      <c r="A149" s="1" t="s">
        <v>22</v>
      </c>
      <c r="B149" s="1" t="s">
        <v>589</v>
      </c>
      <c r="C149" s="1">
        <v>362.0</v>
      </c>
      <c r="D149" s="1">
        <v>157.0</v>
      </c>
      <c r="E149" s="1">
        <v>519.0</v>
      </c>
      <c r="F149" s="7"/>
      <c r="G149" s="1" t="s">
        <v>590</v>
      </c>
      <c r="H149" s="1" t="s">
        <v>190</v>
      </c>
      <c r="I149" s="1" t="s">
        <v>172</v>
      </c>
      <c r="J149" s="1" t="s">
        <v>575</v>
      </c>
      <c r="K149" s="1" t="s">
        <v>184</v>
      </c>
      <c r="L149" s="1"/>
      <c r="M149" s="1" t="s">
        <v>191</v>
      </c>
      <c r="N149" s="6">
        <f>IFERROR(__xludf.DUMMYFUNCTION("IF(REGEXMATCH(A149, ""^00-""), 0, IF(AND(EQ(F149, """"), EQ(G149, """")), 1, 0))"),0.0)</f>
        <v>0</v>
      </c>
      <c r="O149" s="6">
        <f>IFERROR(__xludf.DUMMYFUNCTION("IF(REGEXMATCH(A149, ""^00-""), 0, IF(AND(NE(F149, """"), EQ(G149, """")), 1, 0))"),0.0)</f>
        <v>0</v>
      </c>
      <c r="P149" s="6">
        <f>IFERROR(__xludf.DUMMYFUNCTION("IF(REGEXMATCH(A149, ""^00-""), 0, IF(AND(EQ(F149, """"), NE(G149, """")), 1, 0))"),1.0)</f>
        <v>1</v>
      </c>
      <c r="Q149" s="6">
        <f>IFERROR(__xludf.DUMMYFUNCTION("IF(REGEXMATCH(A149, ""^00-""), 0, IF(AND(NE(F149, """"), NE(G149, """")), 1, 0))"),0.0)</f>
        <v>0</v>
      </c>
      <c r="R149" s="6">
        <f t="shared" si="1"/>
        <v>1</v>
      </c>
    </row>
    <row r="150">
      <c r="A150" s="1" t="s">
        <v>22</v>
      </c>
      <c r="B150" s="1" t="s">
        <v>591</v>
      </c>
      <c r="C150" s="1">
        <v>70.0</v>
      </c>
      <c r="D150" s="1">
        <v>449.0</v>
      </c>
      <c r="E150" s="1">
        <v>519.0</v>
      </c>
      <c r="F150" s="7"/>
      <c r="G150" s="1" t="s">
        <v>592</v>
      </c>
      <c r="H150" s="1" t="s">
        <v>250</v>
      </c>
      <c r="I150" s="1" t="s">
        <v>172</v>
      </c>
      <c r="J150" s="1" t="s">
        <v>575</v>
      </c>
      <c r="K150" s="1" t="s">
        <v>184</v>
      </c>
      <c r="L150" s="1"/>
      <c r="M150" s="1" t="s">
        <v>250</v>
      </c>
      <c r="N150" s="6">
        <f>IFERROR(__xludf.DUMMYFUNCTION("IF(REGEXMATCH(A150, ""^00-""), 0, IF(AND(EQ(F150, """"), EQ(G150, """")), 1, 0))"),0.0)</f>
        <v>0</v>
      </c>
      <c r="O150" s="6">
        <f>IFERROR(__xludf.DUMMYFUNCTION("IF(REGEXMATCH(A150, ""^00-""), 0, IF(AND(NE(F150, """"), EQ(G150, """")), 1, 0))"),0.0)</f>
        <v>0</v>
      </c>
      <c r="P150" s="6">
        <f>IFERROR(__xludf.DUMMYFUNCTION("IF(REGEXMATCH(A150, ""^00-""), 0, IF(AND(EQ(F150, """"), NE(G150, """")), 1, 0))"),1.0)</f>
        <v>1</v>
      </c>
      <c r="Q150" s="6">
        <f>IFERROR(__xludf.DUMMYFUNCTION("IF(REGEXMATCH(A150, ""^00-""), 0, IF(AND(NE(F150, """"), NE(G150, """")), 1, 0))"),0.0)</f>
        <v>0</v>
      </c>
      <c r="R150" s="6">
        <f t="shared" si="1"/>
        <v>1</v>
      </c>
    </row>
    <row r="151">
      <c r="A151" s="1" t="s">
        <v>22</v>
      </c>
      <c r="B151" s="1" t="s">
        <v>593</v>
      </c>
      <c r="C151" s="1">
        <v>69.0</v>
      </c>
      <c r="D151" s="1">
        <v>450.0</v>
      </c>
      <c r="E151" s="1">
        <v>519.0</v>
      </c>
      <c r="F151" s="7"/>
      <c r="G151" s="1" t="s">
        <v>594</v>
      </c>
      <c r="H151" s="1" t="s">
        <v>254</v>
      </c>
      <c r="I151" s="1" t="s">
        <v>172</v>
      </c>
      <c r="J151" s="1" t="s">
        <v>575</v>
      </c>
      <c r="K151" s="1" t="s">
        <v>184</v>
      </c>
      <c r="L151" s="1"/>
      <c r="M151" s="1" t="s">
        <v>254</v>
      </c>
      <c r="N151" s="6">
        <f>IFERROR(__xludf.DUMMYFUNCTION("IF(REGEXMATCH(A151, ""^00-""), 0, IF(AND(EQ(F151, """"), EQ(G151, """")), 1, 0))"),0.0)</f>
        <v>0</v>
      </c>
      <c r="O151" s="6">
        <f>IFERROR(__xludf.DUMMYFUNCTION("IF(REGEXMATCH(A151, ""^00-""), 0, IF(AND(NE(F151, """"), EQ(G151, """")), 1, 0))"),0.0)</f>
        <v>0</v>
      </c>
      <c r="P151" s="6">
        <f>IFERROR(__xludf.DUMMYFUNCTION("IF(REGEXMATCH(A151, ""^00-""), 0, IF(AND(EQ(F151, """"), NE(G151, """")), 1, 0))"),1.0)</f>
        <v>1</v>
      </c>
      <c r="Q151" s="6">
        <f>IFERROR(__xludf.DUMMYFUNCTION("IF(REGEXMATCH(A151, ""^00-""), 0, IF(AND(NE(F151, """"), NE(G151, """")), 1, 0))"),0.0)</f>
        <v>0</v>
      </c>
      <c r="R151" s="6">
        <f t="shared" si="1"/>
        <v>1</v>
      </c>
    </row>
    <row r="152">
      <c r="A152" s="1" t="s">
        <v>22</v>
      </c>
      <c r="B152" s="1" t="s">
        <v>595</v>
      </c>
      <c r="C152" s="1">
        <v>506.0</v>
      </c>
      <c r="D152" s="1">
        <v>13.0</v>
      </c>
      <c r="E152" s="1">
        <v>519.0</v>
      </c>
      <c r="F152" s="7" t="s">
        <v>596</v>
      </c>
      <c r="G152" s="1" t="s">
        <v>597</v>
      </c>
      <c r="H152" s="1" t="s">
        <v>250</v>
      </c>
      <c r="I152" s="1" t="s">
        <v>172</v>
      </c>
      <c r="J152" s="1" t="s">
        <v>575</v>
      </c>
      <c r="K152" s="1" t="s">
        <v>184</v>
      </c>
      <c r="L152" s="1"/>
      <c r="M152" s="1" t="s">
        <v>250</v>
      </c>
      <c r="N152" s="6">
        <f>IFERROR(__xludf.DUMMYFUNCTION("IF(REGEXMATCH(A152, ""^00-""), 0, IF(AND(EQ(F152, """"), EQ(G152, """")), 1, 0))"),0.0)</f>
        <v>0</v>
      </c>
      <c r="O152" s="6">
        <f>IFERROR(__xludf.DUMMYFUNCTION("IF(REGEXMATCH(A152, ""^00-""), 0, IF(AND(NE(F152, """"), EQ(G152, """")), 1, 0))"),0.0)</f>
        <v>0</v>
      </c>
      <c r="P152" s="6">
        <f>IFERROR(__xludf.DUMMYFUNCTION("IF(REGEXMATCH(A152, ""^00-""), 0, IF(AND(EQ(F152, """"), NE(G152, """")), 1, 0))"),0.0)</f>
        <v>0</v>
      </c>
      <c r="Q152" s="6">
        <f>IFERROR(__xludf.DUMMYFUNCTION("IF(REGEXMATCH(A152, ""^00-""), 0, IF(AND(NE(F152, """"), NE(G152, """")), 1, 0))"),1.0)</f>
        <v>1</v>
      </c>
      <c r="R152" s="6">
        <f t="shared" si="1"/>
        <v>1</v>
      </c>
    </row>
    <row r="153">
      <c r="A153" s="1" t="s">
        <v>22</v>
      </c>
      <c r="B153" s="1" t="s">
        <v>598</v>
      </c>
      <c r="C153" s="1">
        <v>501.0</v>
      </c>
      <c r="D153" s="1">
        <v>18.0</v>
      </c>
      <c r="E153" s="1">
        <v>519.0</v>
      </c>
      <c r="F153" s="7" t="s">
        <v>599</v>
      </c>
      <c r="G153" s="1" t="s">
        <v>600</v>
      </c>
      <c r="H153" s="1" t="s">
        <v>254</v>
      </c>
      <c r="I153" s="1" t="s">
        <v>172</v>
      </c>
      <c r="J153" s="1" t="s">
        <v>575</v>
      </c>
      <c r="K153" s="1" t="s">
        <v>184</v>
      </c>
      <c r="L153" s="1"/>
      <c r="M153" s="1" t="s">
        <v>254</v>
      </c>
      <c r="N153" s="6">
        <f>IFERROR(__xludf.DUMMYFUNCTION("IF(REGEXMATCH(A153, ""^00-""), 0, IF(AND(EQ(F153, """"), EQ(G153, """")), 1, 0))"),0.0)</f>
        <v>0</v>
      </c>
      <c r="O153" s="6">
        <f>IFERROR(__xludf.DUMMYFUNCTION("IF(REGEXMATCH(A153, ""^00-""), 0, IF(AND(NE(F153, """"), EQ(G153, """")), 1, 0))"),0.0)</f>
        <v>0</v>
      </c>
      <c r="P153" s="6">
        <f>IFERROR(__xludf.DUMMYFUNCTION("IF(REGEXMATCH(A153, ""^00-""), 0, IF(AND(EQ(F153, """"), NE(G153, """")), 1, 0))"),0.0)</f>
        <v>0</v>
      </c>
      <c r="Q153" s="6">
        <f>IFERROR(__xludf.DUMMYFUNCTION("IF(REGEXMATCH(A153, ""^00-""), 0, IF(AND(NE(F153, """"), NE(G153, """")), 1, 0))"),1.0)</f>
        <v>1</v>
      </c>
      <c r="R153" s="6">
        <f t="shared" si="1"/>
        <v>1</v>
      </c>
    </row>
    <row r="154">
      <c r="A154" s="1" t="s">
        <v>22</v>
      </c>
      <c r="B154" s="1" t="s">
        <v>601</v>
      </c>
      <c r="C154" s="1">
        <v>234.0</v>
      </c>
      <c r="D154" s="1">
        <v>285.0</v>
      </c>
      <c r="E154" s="1">
        <v>519.0</v>
      </c>
      <c r="F154" s="7" t="s">
        <v>602</v>
      </c>
      <c r="G154" s="1" t="s">
        <v>603</v>
      </c>
      <c r="H154" s="1" t="s">
        <v>182</v>
      </c>
      <c r="I154" s="1" t="s">
        <v>172</v>
      </c>
      <c r="J154" s="1" t="s">
        <v>575</v>
      </c>
      <c r="K154" s="1" t="s">
        <v>184</v>
      </c>
      <c r="L154" s="1"/>
      <c r="M154" s="1" t="s">
        <v>257</v>
      </c>
      <c r="N154" s="6">
        <f>IFERROR(__xludf.DUMMYFUNCTION("IF(REGEXMATCH(A154, ""^00-""), 0, IF(AND(EQ(F154, """"), EQ(G154, """")), 1, 0))"),0.0)</f>
        <v>0</v>
      </c>
      <c r="O154" s="6">
        <f>IFERROR(__xludf.DUMMYFUNCTION("IF(REGEXMATCH(A154, ""^00-""), 0, IF(AND(NE(F154, """"), EQ(G154, """")), 1, 0))"),0.0)</f>
        <v>0</v>
      </c>
      <c r="P154" s="6">
        <f>IFERROR(__xludf.DUMMYFUNCTION("IF(REGEXMATCH(A154, ""^00-""), 0, IF(AND(EQ(F154, """"), NE(G154, """")), 1, 0))"),0.0)</f>
        <v>0</v>
      </c>
      <c r="Q154" s="6">
        <f>IFERROR(__xludf.DUMMYFUNCTION("IF(REGEXMATCH(A154, ""^00-""), 0, IF(AND(NE(F154, """"), NE(G154, """")), 1, 0))"),1.0)</f>
        <v>1</v>
      </c>
      <c r="R154" s="6">
        <f t="shared" si="1"/>
        <v>1</v>
      </c>
    </row>
    <row r="155">
      <c r="A155" s="1" t="s">
        <v>22</v>
      </c>
      <c r="B155" s="1" t="s">
        <v>604</v>
      </c>
      <c r="C155" s="1">
        <v>378.0</v>
      </c>
      <c r="D155" s="1">
        <v>141.0</v>
      </c>
      <c r="E155" s="1">
        <v>519.0</v>
      </c>
      <c r="F155" s="7" t="s">
        <v>605</v>
      </c>
      <c r="G155" s="1" t="s">
        <v>606</v>
      </c>
      <c r="H155" s="1" t="s">
        <v>182</v>
      </c>
      <c r="I155" s="1" t="s">
        <v>172</v>
      </c>
      <c r="J155" s="1" t="s">
        <v>575</v>
      </c>
      <c r="K155" s="1" t="s">
        <v>184</v>
      </c>
      <c r="L155" s="1"/>
      <c r="M155" s="1" t="s">
        <v>257</v>
      </c>
      <c r="N155" s="6">
        <f>IFERROR(__xludf.DUMMYFUNCTION("IF(REGEXMATCH(A155, ""^00-""), 0, IF(AND(EQ(F155, """"), EQ(G155, """")), 1, 0))"),0.0)</f>
        <v>0</v>
      </c>
      <c r="O155" s="6">
        <f>IFERROR(__xludf.DUMMYFUNCTION("IF(REGEXMATCH(A155, ""^00-""), 0, IF(AND(NE(F155, """"), EQ(G155, """")), 1, 0))"),0.0)</f>
        <v>0</v>
      </c>
      <c r="P155" s="6">
        <f>IFERROR(__xludf.DUMMYFUNCTION("IF(REGEXMATCH(A155, ""^00-""), 0, IF(AND(EQ(F155, """"), NE(G155, """")), 1, 0))"),0.0)</f>
        <v>0</v>
      </c>
      <c r="Q155" s="6">
        <f>IFERROR(__xludf.DUMMYFUNCTION("IF(REGEXMATCH(A155, ""^00-""), 0, IF(AND(NE(F155, """"), NE(G155, """")), 1, 0))"),1.0)</f>
        <v>1</v>
      </c>
      <c r="R155" s="6">
        <f t="shared" si="1"/>
        <v>1</v>
      </c>
    </row>
    <row r="156">
      <c r="A156" s="1" t="s">
        <v>22</v>
      </c>
      <c r="B156" s="1" t="s">
        <v>607</v>
      </c>
      <c r="C156" s="1">
        <v>138.0</v>
      </c>
      <c r="D156" s="1">
        <v>381.0</v>
      </c>
      <c r="E156" s="1">
        <v>519.0</v>
      </c>
      <c r="F156" s="7" t="s">
        <v>608</v>
      </c>
      <c r="G156" s="1" t="s">
        <v>609</v>
      </c>
      <c r="H156" s="1" t="s">
        <v>182</v>
      </c>
      <c r="I156" s="1" t="s">
        <v>172</v>
      </c>
      <c r="J156" s="1" t="s">
        <v>575</v>
      </c>
      <c r="K156" s="1" t="s">
        <v>184</v>
      </c>
      <c r="L156" s="1"/>
      <c r="M156" s="1" t="s">
        <v>257</v>
      </c>
      <c r="N156" s="6">
        <f>IFERROR(__xludf.DUMMYFUNCTION("IF(REGEXMATCH(A156, ""^00-""), 0, IF(AND(EQ(F156, """"), EQ(G156, """")), 1, 0))"),0.0)</f>
        <v>0</v>
      </c>
      <c r="O156" s="6">
        <f>IFERROR(__xludf.DUMMYFUNCTION("IF(REGEXMATCH(A156, ""^00-""), 0, IF(AND(NE(F156, """"), EQ(G156, """")), 1, 0))"),0.0)</f>
        <v>0</v>
      </c>
      <c r="P156" s="6">
        <f>IFERROR(__xludf.DUMMYFUNCTION("IF(REGEXMATCH(A156, ""^00-""), 0, IF(AND(EQ(F156, """"), NE(G156, """")), 1, 0))"),0.0)</f>
        <v>0</v>
      </c>
      <c r="Q156" s="6">
        <f>IFERROR(__xludf.DUMMYFUNCTION("IF(REGEXMATCH(A156, ""^00-""), 0, IF(AND(NE(F156, """"), NE(G156, """")), 1, 0))"),1.0)</f>
        <v>1</v>
      </c>
      <c r="R156" s="6">
        <f t="shared" si="1"/>
        <v>1</v>
      </c>
    </row>
    <row r="157">
      <c r="A157" s="1" t="s">
        <v>22</v>
      </c>
      <c r="B157" s="1" t="s">
        <v>610</v>
      </c>
      <c r="C157" s="1">
        <v>233.0</v>
      </c>
      <c r="D157" s="1">
        <v>286.0</v>
      </c>
      <c r="E157" s="1">
        <v>519.0</v>
      </c>
      <c r="F157" s="7" t="s">
        <v>611</v>
      </c>
      <c r="G157" s="1" t="s">
        <v>612</v>
      </c>
      <c r="H157" s="1" t="s">
        <v>182</v>
      </c>
      <c r="I157" s="1" t="s">
        <v>172</v>
      </c>
      <c r="J157" s="1" t="s">
        <v>575</v>
      </c>
      <c r="K157" s="1" t="s">
        <v>184</v>
      </c>
      <c r="L157" s="1"/>
      <c r="M157" s="1" t="s">
        <v>257</v>
      </c>
      <c r="N157" s="6">
        <f>IFERROR(__xludf.DUMMYFUNCTION("IF(REGEXMATCH(A157, ""^00-""), 0, IF(AND(EQ(F157, """"), EQ(G157, """")), 1, 0))"),0.0)</f>
        <v>0</v>
      </c>
      <c r="O157" s="6">
        <f>IFERROR(__xludf.DUMMYFUNCTION("IF(REGEXMATCH(A157, ""^00-""), 0, IF(AND(NE(F157, """"), EQ(G157, """")), 1, 0))"),0.0)</f>
        <v>0</v>
      </c>
      <c r="P157" s="6">
        <f>IFERROR(__xludf.DUMMYFUNCTION("IF(REGEXMATCH(A157, ""^00-""), 0, IF(AND(EQ(F157, """"), NE(G157, """")), 1, 0))"),0.0)</f>
        <v>0</v>
      </c>
      <c r="Q157" s="6">
        <f>IFERROR(__xludf.DUMMYFUNCTION("IF(REGEXMATCH(A157, ""^00-""), 0, IF(AND(NE(F157, """"), NE(G157, """")), 1, 0))"),1.0)</f>
        <v>1</v>
      </c>
      <c r="R157" s="6">
        <f t="shared" si="1"/>
        <v>1</v>
      </c>
    </row>
    <row r="158">
      <c r="A158" s="1" t="s">
        <v>22</v>
      </c>
      <c r="B158" s="1" t="s">
        <v>613</v>
      </c>
      <c r="C158" s="1">
        <v>501.0</v>
      </c>
      <c r="D158" s="1">
        <v>18.0</v>
      </c>
      <c r="E158" s="1">
        <v>519.0</v>
      </c>
      <c r="F158" s="7" t="s">
        <v>596</v>
      </c>
      <c r="G158" s="1" t="s">
        <v>614</v>
      </c>
      <c r="H158" s="1" t="s">
        <v>250</v>
      </c>
      <c r="I158" s="1" t="s">
        <v>172</v>
      </c>
      <c r="J158" s="1" t="s">
        <v>575</v>
      </c>
      <c r="K158" s="1" t="s">
        <v>184</v>
      </c>
      <c r="L158" s="1"/>
      <c r="M158" s="1" t="s">
        <v>250</v>
      </c>
      <c r="N158" s="6">
        <f>IFERROR(__xludf.DUMMYFUNCTION("IF(REGEXMATCH(A158, ""^00-""), 0, IF(AND(EQ(F158, """"), EQ(G158, """")), 1, 0))"),0.0)</f>
        <v>0</v>
      </c>
      <c r="O158" s="6">
        <f>IFERROR(__xludf.DUMMYFUNCTION("IF(REGEXMATCH(A158, ""^00-""), 0, IF(AND(NE(F158, """"), EQ(G158, """")), 1, 0))"),0.0)</f>
        <v>0</v>
      </c>
      <c r="P158" s="6">
        <f>IFERROR(__xludf.DUMMYFUNCTION("IF(REGEXMATCH(A158, ""^00-""), 0, IF(AND(EQ(F158, """"), NE(G158, """")), 1, 0))"),0.0)</f>
        <v>0</v>
      </c>
      <c r="Q158" s="6">
        <f>IFERROR(__xludf.DUMMYFUNCTION("IF(REGEXMATCH(A158, ""^00-""), 0, IF(AND(NE(F158, """"), NE(G158, """")), 1, 0))"),1.0)</f>
        <v>1</v>
      </c>
      <c r="R158" s="6">
        <f t="shared" si="1"/>
        <v>1</v>
      </c>
    </row>
    <row r="159">
      <c r="A159" s="1" t="s">
        <v>22</v>
      </c>
      <c r="B159" s="1" t="s">
        <v>615</v>
      </c>
      <c r="C159" s="1">
        <v>488.0</v>
      </c>
      <c r="D159" s="1">
        <v>31.0</v>
      </c>
      <c r="E159" s="1">
        <v>519.0</v>
      </c>
      <c r="F159" s="7" t="s">
        <v>599</v>
      </c>
      <c r="G159" s="1" t="s">
        <v>616</v>
      </c>
      <c r="H159" s="1" t="s">
        <v>254</v>
      </c>
      <c r="I159" s="1" t="s">
        <v>172</v>
      </c>
      <c r="J159" s="1" t="s">
        <v>575</v>
      </c>
      <c r="K159" s="1" t="s">
        <v>184</v>
      </c>
      <c r="L159" s="1"/>
      <c r="M159" s="1" t="s">
        <v>254</v>
      </c>
      <c r="N159" s="6">
        <f>IFERROR(__xludf.DUMMYFUNCTION("IF(REGEXMATCH(A159, ""^00-""), 0, IF(AND(EQ(F159, """"), EQ(G159, """")), 1, 0))"),0.0)</f>
        <v>0</v>
      </c>
      <c r="O159" s="6">
        <f>IFERROR(__xludf.DUMMYFUNCTION("IF(REGEXMATCH(A159, ""^00-""), 0, IF(AND(NE(F159, """"), EQ(G159, """")), 1, 0))"),0.0)</f>
        <v>0</v>
      </c>
      <c r="P159" s="6">
        <f>IFERROR(__xludf.DUMMYFUNCTION("IF(REGEXMATCH(A159, ""^00-""), 0, IF(AND(EQ(F159, """"), NE(G159, """")), 1, 0))"),0.0)</f>
        <v>0</v>
      </c>
      <c r="Q159" s="6">
        <f>IFERROR(__xludf.DUMMYFUNCTION("IF(REGEXMATCH(A159, ""^00-""), 0, IF(AND(NE(F159, """"), NE(G159, """")), 1, 0))"),1.0)</f>
        <v>1</v>
      </c>
      <c r="R159" s="6">
        <f t="shared" si="1"/>
        <v>1</v>
      </c>
    </row>
    <row r="160">
      <c r="A160" s="1" t="s">
        <v>22</v>
      </c>
      <c r="B160" s="1" t="s">
        <v>617</v>
      </c>
      <c r="C160" s="1">
        <v>203.0</v>
      </c>
      <c r="D160" s="1">
        <v>316.0</v>
      </c>
      <c r="E160" s="1">
        <v>519.0</v>
      </c>
      <c r="F160" s="7" t="s">
        <v>602</v>
      </c>
      <c r="G160" s="1" t="s">
        <v>618</v>
      </c>
      <c r="H160" s="1" t="s">
        <v>182</v>
      </c>
      <c r="I160" s="1" t="s">
        <v>172</v>
      </c>
      <c r="J160" s="1" t="s">
        <v>575</v>
      </c>
      <c r="K160" s="1" t="s">
        <v>184</v>
      </c>
      <c r="L160" s="1"/>
      <c r="M160" s="1" t="s">
        <v>257</v>
      </c>
      <c r="N160" s="6">
        <f>IFERROR(__xludf.DUMMYFUNCTION("IF(REGEXMATCH(A160, ""^00-""), 0, IF(AND(EQ(F160, """"), EQ(G160, """")), 1, 0))"),0.0)</f>
        <v>0</v>
      </c>
      <c r="O160" s="6">
        <f>IFERROR(__xludf.DUMMYFUNCTION("IF(REGEXMATCH(A160, ""^00-""), 0, IF(AND(NE(F160, """"), EQ(G160, """")), 1, 0))"),0.0)</f>
        <v>0</v>
      </c>
      <c r="P160" s="6">
        <f>IFERROR(__xludf.DUMMYFUNCTION("IF(REGEXMATCH(A160, ""^00-""), 0, IF(AND(EQ(F160, """"), NE(G160, """")), 1, 0))"),0.0)</f>
        <v>0</v>
      </c>
      <c r="Q160" s="6">
        <f>IFERROR(__xludf.DUMMYFUNCTION("IF(REGEXMATCH(A160, ""^00-""), 0, IF(AND(NE(F160, """"), NE(G160, """")), 1, 0))"),1.0)</f>
        <v>1</v>
      </c>
      <c r="R160" s="6">
        <f t="shared" si="1"/>
        <v>1</v>
      </c>
    </row>
    <row r="161">
      <c r="A161" s="1" t="s">
        <v>22</v>
      </c>
      <c r="B161" s="1" t="s">
        <v>619</v>
      </c>
      <c r="C161" s="1">
        <v>418.0</v>
      </c>
      <c r="D161" s="1">
        <v>101.0</v>
      </c>
      <c r="E161" s="1">
        <v>519.0</v>
      </c>
      <c r="F161" s="7" t="s">
        <v>605</v>
      </c>
      <c r="G161" s="7" t="s">
        <v>620</v>
      </c>
      <c r="H161" s="1" t="s">
        <v>182</v>
      </c>
      <c r="I161" s="1" t="s">
        <v>172</v>
      </c>
      <c r="J161" s="1" t="s">
        <v>575</v>
      </c>
      <c r="K161" s="1" t="s">
        <v>184</v>
      </c>
      <c r="L161" s="1"/>
      <c r="M161" s="1" t="s">
        <v>257</v>
      </c>
      <c r="N161" s="6">
        <f>IFERROR(__xludf.DUMMYFUNCTION("IF(REGEXMATCH(A161, ""^00-""), 0, IF(AND(EQ(F161, """"), EQ(G161, """")), 1, 0))"),0.0)</f>
        <v>0</v>
      </c>
      <c r="O161" s="6">
        <f>IFERROR(__xludf.DUMMYFUNCTION("IF(REGEXMATCH(A161, ""^00-""), 0, IF(AND(NE(F161, """"), EQ(G161, """")), 1, 0))"),0.0)</f>
        <v>0</v>
      </c>
      <c r="P161" s="6">
        <f>IFERROR(__xludf.DUMMYFUNCTION("IF(REGEXMATCH(A161, ""^00-""), 0, IF(AND(EQ(F161, """"), NE(G161, """")), 1, 0))"),0.0)</f>
        <v>0</v>
      </c>
      <c r="Q161" s="6">
        <f>IFERROR(__xludf.DUMMYFUNCTION("IF(REGEXMATCH(A161, ""^00-""), 0, IF(AND(NE(F161, """"), NE(G161, """")), 1, 0))"),1.0)</f>
        <v>1</v>
      </c>
      <c r="R161" s="6">
        <f t="shared" si="1"/>
        <v>1</v>
      </c>
    </row>
    <row r="162">
      <c r="A162" s="1" t="s">
        <v>22</v>
      </c>
      <c r="B162" s="1" t="s">
        <v>621</v>
      </c>
      <c r="C162" s="1">
        <v>68.0</v>
      </c>
      <c r="D162" s="1">
        <v>451.0</v>
      </c>
      <c r="E162" s="1">
        <v>519.0</v>
      </c>
      <c r="F162" s="7" t="s">
        <v>608</v>
      </c>
      <c r="G162" s="7" t="s">
        <v>622</v>
      </c>
      <c r="H162" s="1" t="s">
        <v>182</v>
      </c>
      <c r="I162" s="1" t="s">
        <v>172</v>
      </c>
      <c r="J162" s="1" t="s">
        <v>575</v>
      </c>
      <c r="K162" s="1" t="s">
        <v>184</v>
      </c>
      <c r="L162" s="1"/>
      <c r="M162" s="1" t="s">
        <v>257</v>
      </c>
      <c r="N162" s="6">
        <f>IFERROR(__xludf.DUMMYFUNCTION("IF(REGEXMATCH(A162, ""^00-""), 0, IF(AND(EQ(F162, """"), EQ(G162, """")), 1, 0))"),0.0)</f>
        <v>0</v>
      </c>
      <c r="O162" s="6">
        <f>IFERROR(__xludf.DUMMYFUNCTION("IF(REGEXMATCH(A162, ""^00-""), 0, IF(AND(NE(F162, """"), EQ(G162, """")), 1, 0))"),0.0)</f>
        <v>0</v>
      </c>
      <c r="P162" s="6">
        <f>IFERROR(__xludf.DUMMYFUNCTION("IF(REGEXMATCH(A162, ""^00-""), 0, IF(AND(EQ(F162, """"), NE(G162, """")), 1, 0))"),0.0)</f>
        <v>0</v>
      </c>
      <c r="Q162" s="6">
        <f>IFERROR(__xludf.DUMMYFUNCTION("IF(REGEXMATCH(A162, ""^00-""), 0, IF(AND(NE(F162, """"), NE(G162, """")), 1, 0))"),1.0)</f>
        <v>1</v>
      </c>
      <c r="R162" s="6">
        <f t="shared" si="1"/>
        <v>1</v>
      </c>
    </row>
    <row r="163">
      <c r="A163" s="1" t="s">
        <v>22</v>
      </c>
      <c r="B163" s="1" t="s">
        <v>623</v>
      </c>
      <c r="C163" s="1">
        <v>187.0</v>
      </c>
      <c r="D163" s="1">
        <v>332.0</v>
      </c>
      <c r="E163" s="1">
        <v>519.0</v>
      </c>
      <c r="F163" s="7" t="s">
        <v>611</v>
      </c>
      <c r="G163" s="7" t="s">
        <v>624</v>
      </c>
      <c r="H163" s="1" t="s">
        <v>182</v>
      </c>
      <c r="I163" s="1" t="s">
        <v>172</v>
      </c>
      <c r="J163" s="1" t="s">
        <v>575</v>
      </c>
      <c r="K163" s="1" t="s">
        <v>184</v>
      </c>
      <c r="L163" s="1"/>
      <c r="M163" s="1" t="s">
        <v>257</v>
      </c>
      <c r="N163" s="6">
        <f>IFERROR(__xludf.DUMMYFUNCTION("IF(REGEXMATCH(A163, ""^00-""), 0, IF(AND(EQ(F163, """"), EQ(G163, """")), 1, 0))"),0.0)</f>
        <v>0</v>
      </c>
      <c r="O163" s="6">
        <f>IFERROR(__xludf.DUMMYFUNCTION("IF(REGEXMATCH(A163, ""^00-""), 0, IF(AND(NE(F163, """"), EQ(G163, """")), 1, 0))"),0.0)</f>
        <v>0</v>
      </c>
      <c r="P163" s="6">
        <f>IFERROR(__xludf.DUMMYFUNCTION("IF(REGEXMATCH(A163, ""^00-""), 0, IF(AND(EQ(F163, """"), NE(G163, """")), 1, 0))"),0.0)</f>
        <v>0</v>
      </c>
      <c r="Q163" s="6">
        <f>IFERROR(__xludf.DUMMYFUNCTION("IF(REGEXMATCH(A163, ""^00-""), 0, IF(AND(NE(F163, """"), NE(G163, """")), 1, 0))"),1.0)</f>
        <v>1</v>
      </c>
      <c r="R163" s="6">
        <f t="shared" si="1"/>
        <v>1</v>
      </c>
    </row>
    <row r="164">
      <c r="A164" s="1" t="s">
        <v>24</v>
      </c>
      <c r="B164" s="1" t="s">
        <v>625</v>
      </c>
      <c r="C164" s="1">
        <v>524.0</v>
      </c>
      <c r="D164" s="1">
        <v>0.0</v>
      </c>
      <c r="E164" s="1">
        <v>524.0</v>
      </c>
      <c r="F164" s="7" t="s">
        <v>626</v>
      </c>
      <c r="G164" s="7" t="s">
        <v>627</v>
      </c>
      <c r="H164" s="1" t="s">
        <v>250</v>
      </c>
      <c r="I164" s="1" t="s">
        <v>172</v>
      </c>
      <c r="J164" s="1" t="s">
        <v>628</v>
      </c>
      <c r="K164" s="1" t="s">
        <v>184</v>
      </c>
      <c r="L164" s="1"/>
      <c r="M164" s="1" t="s">
        <v>250</v>
      </c>
      <c r="N164" s="6">
        <f>IFERROR(__xludf.DUMMYFUNCTION("IF(REGEXMATCH(A164, ""^00-""), 0, IF(AND(EQ(F164, """"), EQ(G164, """")), 1, 0))"),0.0)</f>
        <v>0</v>
      </c>
      <c r="O164" s="6">
        <f>IFERROR(__xludf.DUMMYFUNCTION("IF(REGEXMATCH(A164, ""^00-""), 0, IF(AND(NE(F164, """"), EQ(G164, """")), 1, 0))"),0.0)</f>
        <v>0</v>
      </c>
      <c r="P164" s="6">
        <f>IFERROR(__xludf.DUMMYFUNCTION("IF(REGEXMATCH(A164, ""^00-""), 0, IF(AND(EQ(F164, """"), NE(G164, """")), 1, 0))"),0.0)</f>
        <v>0</v>
      </c>
      <c r="Q164" s="6">
        <f>IFERROR(__xludf.DUMMYFUNCTION("IF(REGEXMATCH(A164, ""^00-""), 0, IF(AND(NE(F164, """"), NE(G164, """")), 1, 0))"),1.0)</f>
        <v>1</v>
      </c>
      <c r="R164" s="6">
        <f t="shared" si="1"/>
        <v>1</v>
      </c>
    </row>
    <row r="165">
      <c r="A165" s="1" t="s">
        <v>24</v>
      </c>
      <c r="B165" s="1" t="s">
        <v>629</v>
      </c>
      <c r="C165" s="1">
        <v>519.0</v>
      </c>
      <c r="D165" s="1">
        <v>5.0</v>
      </c>
      <c r="E165" s="1">
        <v>524.0</v>
      </c>
      <c r="F165" s="7" t="s">
        <v>630</v>
      </c>
      <c r="G165" s="7" t="s">
        <v>631</v>
      </c>
      <c r="H165" s="1" t="s">
        <v>254</v>
      </c>
      <c r="I165" s="1" t="s">
        <v>172</v>
      </c>
      <c r="J165" s="1" t="s">
        <v>628</v>
      </c>
      <c r="K165" s="1" t="s">
        <v>184</v>
      </c>
      <c r="L165" s="1"/>
      <c r="M165" s="1" t="s">
        <v>254</v>
      </c>
      <c r="N165" s="6">
        <f>IFERROR(__xludf.DUMMYFUNCTION("IF(REGEXMATCH(A165, ""^00-""), 0, IF(AND(EQ(F165, """"), EQ(G165, """")), 1, 0))"),0.0)</f>
        <v>0</v>
      </c>
      <c r="O165" s="6">
        <f>IFERROR(__xludf.DUMMYFUNCTION("IF(REGEXMATCH(A165, ""^00-""), 0, IF(AND(NE(F165, """"), EQ(G165, """")), 1, 0))"),0.0)</f>
        <v>0</v>
      </c>
      <c r="P165" s="6">
        <f>IFERROR(__xludf.DUMMYFUNCTION("IF(REGEXMATCH(A165, ""^00-""), 0, IF(AND(EQ(F165, """"), NE(G165, """")), 1, 0))"),0.0)</f>
        <v>0</v>
      </c>
      <c r="Q165" s="6">
        <f>IFERROR(__xludf.DUMMYFUNCTION("IF(REGEXMATCH(A165, ""^00-""), 0, IF(AND(NE(F165, """"), NE(G165, """")), 1, 0))"),1.0)</f>
        <v>1</v>
      </c>
      <c r="R165" s="6">
        <f t="shared" si="1"/>
        <v>1</v>
      </c>
    </row>
    <row r="166">
      <c r="A166" s="1" t="s">
        <v>24</v>
      </c>
      <c r="B166" s="1" t="s">
        <v>632</v>
      </c>
      <c r="C166" s="1">
        <v>508.0</v>
      </c>
      <c r="D166" s="1">
        <v>16.0</v>
      </c>
      <c r="E166" s="1">
        <v>524.0</v>
      </c>
      <c r="F166" s="7" t="s">
        <v>633</v>
      </c>
      <c r="G166" s="7" t="s">
        <v>634</v>
      </c>
      <c r="H166" s="1" t="s">
        <v>182</v>
      </c>
      <c r="I166" s="1" t="s">
        <v>172</v>
      </c>
      <c r="J166" s="1" t="s">
        <v>628</v>
      </c>
      <c r="K166" s="1" t="s">
        <v>184</v>
      </c>
      <c r="L166" s="1"/>
      <c r="M166" s="1" t="s">
        <v>257</v>
      </c>
      <c r="N166" s="6">
        <f>IFERROR(__xludf.DUMMYFUNCTION("IF(REGEXMATCH(A166, ""^00-""), 0, IF(AND(EQ(F166, """"), EQ(G166, """")), 1, 0))"),0.0)</f>
        <v>0</v>
      </c>
      <c r="O166" s="6">
        <f>IFERROR(__xludf.DUMMYFUNCTION("IF(REGEXMATCH(A166, ""^00-""), 0, IF(AND(NE(F166, """"), EQ(G166, """")), 1, 0))"),0.0)</f>
        <v>0</v>
      </c>
      <c r="P166" s="6">
        <f>IFERROR(__xludf.DUMMYFUNCTION("IF(REGEXMATCH(A166, ""^00-""), 0, IF(AND(EQ(F166, """"), NE(G166, """")), 1, 0))"),0.0)</f>
        <v>0</v>
      </c>
      <c r="Q166" s="6">
        <f>IFERROR(__xludf.DUMMYFUNCTION("IF(REGEXMATCH(A166, ""^00-""), 0, IF(AND(NE(F166, """"), NE(G166, """")), 1, 0))"),1.0)</f>
        <v>1</v>
      </c>
      <c r="R166" s="6">
        <f t="shared" si="1"/>
        <v>1</v>
      </c>
    </row>
    <row r="167">
      <c r="A167" s="1" t="s">
        <v>24</v>
      </c>
      <c r="B167" s="1" t="s">
        <v>635</v>
      </c>
      <c r="C167" s="1">
        <v>508.0</v>
      </c>
      <c r="D167" s="1">
        <v>16.0</v>
      </c>
      <c r="E167" s="1">
        <v>524.0</v>
      </c>
      <c r="F167" s="7" t="s">
        <v>636</v>
      </c>
      <c r="G167" s="7" t="s">
        <v>637</v>
      </c>
      <c r="H167" s="1" t="s">
        <v>182</v>
      </c>
      <c r="I167" s="1" t="s">
        <v>172</v>
      </c>
      <c r="J167" s="1" t="s">
        <v>628</v>
      </c>
      <c r="K167" s="1" t="s">
        <v>184</v>
      </c>
      <c r="L167" s="1"/>
      <c r="M167" s="1" t="s">
        <v>257</v>
      </c>
      <c r="N167" s="6">
        <f>IFERROR(__xludf.DUMMYFUNCTION("IF(REGEXMATCH(A167, ""^00-""), 0, IF(AND(EQ(F167, """"), EQ(G167, """")), 1, 0))"),0.0)</f>
        <v>0</v>
      </c>
      <c r="O167" s="6">
        <f>IFERROR(__xludf.DUMMYFUNCTION("IF(REGEXMATCH(A167, ""^00-""), 0, IF(AND(NE(F167, """"), EQ(G167, """")), 1, 0))"),0.0)</f>
        <v>0</v>
      </c>
      <c r="P167" s="6">
        <f>IFERROR(__xludf.DUMMYFUNCTION("IF(REGEXMATCH(A167, ""^00-""), 0, IF(AND(EQ(F167, """"), NE(G167, """")), 1, 0))"),0.0)</f>
        <v>0</v>
      </c>
      <c r="Q167" s="6">
        <f>IFERROR(__xludf.DUMMYFUNCTION("IF(REGEXMATCH(A167, ""^00-""), 0, IF(AND(NE(F167, """"), NE(G167, """")), 1, 0))"),1.0)</f>
        <v>1</v>
      </c>
      <c r="R167" s="6">
        <f t="shared" si="1"/>
        <v>1</v>
      </c>
    </row>
    <row r="168">
      <c r="A168" s="1" t="s">
        <v>24</v>
      </c>
      <c r="B168" s="1" t="s">
        <v>638</v>
      </c>
      <c r="C168" s="1">
        <v>513.0</v>
      </c>
      <c r="D168" s="1">
        <v>11.0</v>
      </c>
      <c r="E168" s="1">
        <v>524.0</v>
      </c>
      <c r="F168" s="7" t="s">
        <v>639</v>
      </c>
      <c r="G168" s="7" t="s">
        <v>640</v>
      </c>
      <c r="H168" s="1" t="s">
        <v>182</v>
      </c>
      <c r="I168" s="1" t="s">
        <v>172</v>
      </c>
      <c r="J168" s="1" t="s">
        <v>628</v>
      </c>
      <c r="K168" s="1" t="s">
        <v>184</v>
      </c>
      <c r="L168" s="1"/>
      <c r="M168" s="1" t="s">
        <v>257</v>
      </c>
      <c r="N168" s="6">
        <f>IFERROR(__xludf.DUMMYFUNCTION("IF(REGEXMATCH(A168, ""^00-""), 0, IF(AND(EQ(F168, """"), EQ(G168, """")), 1, 0))"),0.0)</f>
        <v>0</v>
      </c>
      <c r="O168" s="6">
        <f>IFERROR(__xludf.DUMMYFUNCTION("IF(REGEXMATCH(A168, ""^00-""), 0, IF(AND(NE(F168, """"), EQ(G168, """")), 1, 0))"),0.0)</f>
        <v>0</v>
      </c>
      <c r="P168" s="6">
        <f>IFERROR(__xludf.DUMMYFUNCTION("IF(REGEXMATCH(A168, ""^00-""), 0, IF(AND(EQ(F168, """"), NE(G168, """")), 1, 0))"),0.0)</f>
        <v>0</v>
      </c>
      <c r="Q168" s="6">
        <f>IFERROR(__xludf.DUMMYFUNCTION("IF(REGEXMATCH(A168, ""^00-""), 0, IF(AND(NE(F168, """"), NE(G168, """")), 1, 0))"),1.0)</f>
        <v>1</v>
      </c>
      <c r="R168" s="6">
        <f t="shared" si="1"/>
        <v>1</v>
      </c>
    </row>
    <row r="169">
      <c r="A169" s="1" t="s">
        <v>24</v>
      </c>
      <c r="B169" s="1" t="s">
        <v>641</v>
      </c>
      <c r="C169" s="1">
        <v>517.0</v>
      </c>
      <c r="D169" s="1">
        <v>7.0</v>
      </c>
      <c r="E169" s="1">
        <v>524.0</v>
      </c>
      <c r="F169" s="7" t="s">
        <v>642</v>
      </c>
      <c r="G169" s="7" t="s">
        <v>643</v>
      </c>
      <c r="H169" s="1" t="s">
        <v>190</v>
      </c>
      <c r="I169" s="1" t="s">
        <v>172</v>
      </c>
      <c r="J169" s="1" t="s">
        <v>628</v>
      </c>
      <c r="K169" s="1" t="s">
        <v>184</v>
      </c>
      <c r="L169" s="1"/>
      <c r="M169" s="1" t="s">
        <v>191</v>
      </c>
      <c r="N169" s="6">
        <f>IFERROR(__xludf.DUMMYFUNCTION("IF(REGEXMATCH(A169, ""^00-""), 0, IF(AND(EQ(F169, """"), EQ(G169, """")), 1, 0))"),0.0)</f>
        <v>0</v>
      </c>
      <c r="O169" s="6">
        <f>IFERROR(__xludf.DUMMYFUNCTION("IF(REGEXMATCH(A169, ""^00-""), 0, IF(AND(NE(F169, """"), EQ(G169, """")), 1, 0))"),0.0)</f>
        <v>0</v>
      </c>
      <c r="P169" s="6">
        <f>IFERROR(__xludf.DUMMYFUNCTION("IF(REGEXMATCH(A169, ""^00-""), 0, IF(AND(EQ(F169, """"), NE(G169, """")), 1, 0))"),0.0)</f>
        <v>0</v>
      </c>
      <c r="Q169" s="6">
        <f>IFERROR(__xludf.DUMMYFUNCTION("IF(REGEXMATCH(A169, ""^00-""), 0, IF(AND(NE(F169, """"), NE(G169, """")), 1, 0))"),1.0)</f>
        <v>1</v>
      </c>
      <c r="R169" s="6">
        <f t="shared" si="1"/>
        <v>1</v>
      </c>
    </row>
    <row r="170">
      <c r="A170" s="1" t="s">
        <v>24</v>
      </c>
      <c r="B170" s="1" t="s">
        <v>644</v>
      </c>
      <c r="C170" s="1">
        <v>517.0</v>
      </c>
      <c r="D170" s="1">
        <v>7.0</v>
      </c>
      <c r="E170" s="1">
        <v>524.0</v>
      </c>
      <c r="F170" s="10" t="s">
        <v>645</v>
      </c>
      <c r="G170" s="1" t="s">
        <v>646</v>
      </c>
      <c r="H170" s="1" t="s">
        <v>190</v>
      </c>
      <c r="I170" s="1" t="s">
        <v>172</v>
      </c>
      <c r="J170" s="1" t="s">
        <v>628</v>
      </c>
      <c r="K170" s="1" t="s">
        <v>184</v>
      </c>
      <c r="L170" s="1"/>
      <c r="M170" s="1" t="s">
        <v>191</v>
      </c>
      <c r="N170" s="6">
        <f>IFERROR(__xludf.DUMMYFUNCTION("IF(REGEXMATCH(A170, ""^00-""), 0, IF(AND(EQ(F170, """"), EQ(G170, """")), 1, 0))"),0.0)</f>
        <v>0</v>
      </c>
      <c r="O170" s="6">
        <f>IFERROR(__xludf.DUMMYFUNCTION("IF(REGEXMATCH(A170, ""^00-""), 0, IF(AND(NE(F170, """"), EQ(G170, """")), 1, 0))"),0.0)</f>
        <v>0</v>
      </c>
      <c r="P170" s="6">
        <f>IFERROR(__xludf.DUMMYFUNCTION("IF(REGEXMATCH(A170, ""^00-""), 0, IF(AND(EQ(F170, """"), NE(G170, """")), 1, 0))"),0.0)</f>
        <v>0</v>
      </c>
      <c r="Q170" s="6">
        <f>IFERROR(__xludf.DUMMYFUNCTION("IF(REGEXMATCH(A170, ""^00-""), 0, IF(AND(NE(F170, """"), NE(G170, """")), 1, 0))"),1.0)</f>
        <v>1</v>
      </c>
      <c r="R170" s="6">
        <f t="shared" si="1"/>
        <v>1</v>
      </c>
    </row>
    <row r="171">
      <c r="A171" s="1" t="s">
        <v>24</v>
      </c>
      <c r="B171" s="1" t="s">
        <v>647</v>
      </c>
      <c r="C171" s="1">
        <v>517.0</v>
      </c>
      <c r="D171" s="1">
        <v>7.0</v>
      </c>
      <c r="E171" s="1">
        <v>524.0</v>
      </c>
      <c r="F171" s="10" t="s">
        <v>648</v>
      </c>
      <c r="G171" s="1" t="s">
        <v>649</v>
      </c>
      <c r="H171" s="1" t="s">
        <v>190</v>
      </c>
      <c r="I171" s="1" t="s">
        <v>172</v>
      </c>
      <c r="J171" s="1" t="s">
        <v>628</v>
      </c>
      <c r="K171" s="1" t="s">
        <v>184</v>
      </c>
      <c r="L171" s="1"/>
      <c r="M171" s="1" t="s">
        <v>191</v>
      </c>
      <c r="N171" s="6">
        <f>IFERROR(__xludf.DUMMYFUNCTION("IF(REGEXMATCH(A171, ""^00-""), 0, IF(AND(EQ(F171, """"), EQ(G171, """")), 1, 0))"),0.0)</f>
        <v>0</v>
      </c>
      <c r="O171" s="6">
        <f>IFERROR(__xludf.DUMMYFUNCTION("IF(REGEXMATCH(A171, ""^00-""), 0, IF(AND(NE(F171, """"), EQ(G171, """")), 1, 0))"),0.0)</f>
        <v>0</v>
      </c>
      <c r="P171" s="6">
        <f>IFERROR(__xludf.DUMMYFUNCTION("IF(REGEXMATCH(A171, ""^00-""), 0, IF(AND(EQ(F171, """"), NE(G171, """")), 1, 0))"),0.0)</f>
        <v>0</v>
      </c>
      <c r="Q171" s="6">
        <f>IFERROR(__xludf.DUMMYFUNCTION("IF(REGEXMATCH(A171, ""^00-""), 0, IF(AND(NE(F171, """"), NE(G171, """")), 1, 0))"),1.0)</f>
        <v>1</v>
      </c>
      <c r="R171" s="6">
        <f t="shared" si="1"/>
        <v>1</v>
      </c>
    </row>
    <row r="172">
      <c r="A172" s="1" t="s">
        <v>24</v>
      </c>
      <c r="B172" s="1" t="s">
        <v>650</v>
      </c>
      <c r="C172" s="1">
        <v>518.0</v>
      </c>
      <c r="D172" s="1">
        <v>6.0</v>
      </c>
      <c r="E172" s="1">
        <v>524.0</v>
      </c>
      <c r="F172" s="10" t="s">
        <v>651</v>
      </c>
      <c r="G172" s="1" t="s">
        <v>652</v>
      </c>
      <c r="H172" s="1" t="s">
        <v>190</v>
      </c>
      <c r="I172" s="1" t="s">
        <v>172</v>
      </c>
      <c r="J172" s="1" t="s">
        <v>628</v>
      </c>
      <c r="K172" s="1" t="s">
        <v>184</v>
      </c>
      <c r="L172" s="1"/>
      <c r="M172" s="1" t="s">
        <v>191</v>
      </c>
      <c r="N172" s="6">
        <f>IFERROR(__xludf.DUMMYFUNCTION("IF(REGEXMATCH(A172, ""^00-""), 0, IF(AND(EQ(F172, """"), EQ(G172, """")), 1, 0))"),0.0)</f>
        <v>0</v>
      </c>
      <c r="O172" s="6">
        <f>IFERROR(__xludf.DUMMYFUNCTION("IF(REGEXMATCH(A172, ""^00-""), 0, IF(AND(NE(F172, """"), EQ(G172, """")), 1, 0))"),0.0)</f>
        <v>0</v>
      </c>
      <c r="P172" s="6">
        <f>IFERROR(__xludf.DUMMYFUNCTION("IF(REGEXMATCH(A172, ""^00-""), 0, IF(AND(EQ(F172, """"), NE(G172, """")), 1, 0))"),0.0)</f>
        <v>0</v>
      </c>
      <c r="Q172" s="6">
        <f>IFERROR(__xludf.DUMMYFUNCTION("IF(REGEXMATCH(A172, ""^00-""), 0, IF(AND(NE(F172, """"), NE(G172, """")), 1, 0))"),1.0)</f>
        <v>1</v>
      </c>
      <c r="R172" s="6">
        <f t="shared" si="1"/>
        <v>1</v>
      </c>
    </row>
    <row r="173">
      <c r="A173" s="1" t="s">
        <v>26</v>
      </c>
      <c r="B173" s="1" t="s">
        <v>653</v>
      </c>
      <c r="C173" s="1">
        <v>168.0</v>
      </c>
      <c r="D173" s="1">
        <v>364.0</v>
      </c>
      <c r="E173" s="1">
        <v>532.0</v>
      </c>
      <c r="F173" s="10" t="s">
        <v>654</v>
      </c>
      <c r="G173" s="1"/>
      <c r="H173" s="1" t="s">
        <v>190</v>
      </c>
      <c r="I173" s="1" t="s">
        <v>172</v>
      </c>
      <c r="J173" s="1" t="s">
        <v>655</v>
      </c>
      <c r="K173" s="1" t="s">
        <v>184</v>
      </c>
      <c r="L173" s="1"/>
      <c r="M173" s="1" t="s">
        <v>191</v>
      </c>
      <c r="N173" s="6">
        <f>IFERROR(__xludf.DUMMYFUNCTION("IF(REGEXMATCH(A173, ""^00-""), 0, IF(AND(EQ(F173, """"), EQ(G173, """")), 1, 0))"),0.0)</f>
        <v>0</v>
      </c>
      <c r="O173" s="6">
        <f>IFERROR(__xludf.DUMMYFUNCTION("IF(REGEXMATCH(A173, ""^00-""), 0, IF(AND(NE(F173, """"), EQ(G173, """")), 1, 0))"),1.0)</f>
        <v>1</v>
      </c>
      <c r="P173" s="6">
        <f>IFERROR(__xludf.DUMMYFUNCTION("IF(REGEXMATCH(A173, ""^00-""), 0, IF(AND(EQ(F173, """"), NE(G173, """")), 1, 0))"),0.0)</f>
        <v>0</v>
      </c>
      <c r="Q173" s="6">
        <f>IFERROR(__xludf.DUMMYFUNCTION("IF(REGEXMATCH(A173, ""^00-""), 0, IF(AND(NE(F173, """"), NE(G173, """")), 1, 0))"),0.0)</f>
        <v>0</v>
      </c>
      <c r="R173" s="6">
        <f t="shared" si="1"/>
        <v>1</v>
      </c>
    </row>
    <row r="174">
      <c r="A174" s="1" t="s">
        <v>26</v>
      </c>
      <c r="B174" s="1" t="s">
        <v>656</v>
      </c>
      <c r="C174" s="1">
        <v>1.0</v>
      </c>
      <c r="D174" s="1">
        <v>531.0</v>
      </c>
      <c r="E174" s="1">
        <v>532.0</v>
      </c>
      <c r="F174" s="10" t="s">
        <v>657</v>
      </c>
      <c r="G174" s="1"/>
      <c r="H174" s="1" t="s">
        <v>235</v>
      </c>
      <c r="I174" s="1" t="s">
        <v>172</v>
      </c>
      <c r="J174" s="1" t="s">
        <v>655</v>
      </c>
      <c r="K174" s="1" t="s">
        <v>184</v>
      </c>
      <c r="L174" s="1"/>
      <c r="M174" s="1" t="s">
        <v>658</v>
      </c>
      <c r="N174" s="6">
        <f>IFERROR(__xludf.DUMMYFUNCTION("IF(REGEXMATCH(A174, ""^00-""), 0, IF(AND(EQ(F174, """"), EQ(G174, """")), 1, 0))"),0.0)</f>
        <v>0</v>
      </c>
      <c r="O174" s="6">
        <f>IFERROR(__xludf.DUMMYFUNCTION("IF(REGEXMATCH(A174, ""^00-""), 0, IF(AND(NE(F174, """"), EQ(G174, """")), 1, 0))"),1.0)</f>
        <v>1</v>
      </c>
      <c r="P174" s="6">
        <f>IFERROR(__xludf.DUMMYFUNCTION("IF(REGEXMATCH(A174, ""^00-""), 0, IF(AND(EQ(F174, """"), NE(G174, """")), 1, 0))"),0.0)</f>
        <v>0</v>
      </c>
      <c r="Q174" s="6">
        <f>IFERROR(__xludf.DUMMYFUNCTION("IF(REGEXMATCH(A174, ""^00-""), 0, IF(AND(NE(F174, """"), NE(G174, """")), 1, 0))"),0.0)</f>
        <v>0</v>
      </c>
      <c r="R174" s="6">
        <f t="shared" si="1"/>
        <v>1</v>
      </c>
    </row>
    <row r="175">
      <c r="A175" s="1" t="s">
        <v>26</v>
      </c>
      <c r="B175" s="1" t="s">
        <v>659</v>
      </c>
      <c r="C175" s="1">
        <v>1.0</v>
      </c>
      <c r="D175" s="1">
        <v>531.0</v>
      </c>
      <c r="E175" s="1">
        <v>532.0</v>
      </c>
      <c r="F175" s="10" t="s">
        <v>660</v>
      </c>
      <c r="G175" s="1"/>
      <c r="H175" s="1" t="s">
        <v>250</v>
      </c>
      <c r="I175" s="1" t="s">
        <v>172</v>
      </c>
      <c r="J175" s="1" t="s">
        <v>655</v>
      </c>
      <c r="K175" s="1" t="s">
        <v>184</v>
      </c>
      <c r="L175" s="1"/>
      <c r="M175" s="1" t="s">
        <v>250</v>
      </c>
      <c r="N175" s="6">
        <f>IFERROR(__xludf.DUMMYFUNCTION("IF(REGEXMATCH(A175, ""^00-""), 0, IF(AND(EQ(F175, """"), EQ(G175, """")), 1, 0))"),0.0)</f>
        <v>0</v>
      </c>
      <c r="O175" s="6">
        <f>IFERROR(__xludf.DUMMYFUNCTION("IF(REGEXMATCH(A175, ""^00-""), 0, IF(AND(NE(F175, """"), EQ(G175, """")), 1, 0))"),1.0)</f>
        <v>1</v>
      </c>
      <c r="P175" s="6">
        <f>IFERROR(__xludf.DUMMYFUNCTION("IF(REGEXMATCH(A175, ""^00-""), 0, IF(AND(EQ(F175, """"), NE(G175, """")), 1, 0))"),0.0)</f>
        <v>0</v>
      </c>
      <c r="Q175" s="6">
        <f>IFERROR(__xludf.DUMMYFUNCTION("IF(REGEXMATCH(A175, ""^00-""), 0, IF(AND(NE(F175, """"), NE(G175, """")), 1, 0))"),0.0)</f>
        <v>0</v>
      </c>
      <c r="R175" s="6">
        <f t="shared" si="1"/>
        <v>1</v>
      </c>
    </row>
    <row r="176">
      <c r="A176" s="1" t="s">
        <v>26</v>
      </c>
      <c r="B176" s="1" t="s">
        <v>661</v>
      </c>
      <c r="C176" s="1">
        <v>0.0</v>
      </c>
      <c r="D176" s="1">
        <v>532.0</v>
      </c>
      <c r="E176" s="1">
        <v>532.0</v>
      </c>
      <c r="F176" s="10" t="s">
        <v>662</v>
      </c>
      <c r="G176" s="1"/>
      <c r="H176" s="1" t="s">
        <v>254</v>
      </c>
      <c r="I176" s="1" t="s">
        <v>172</v>
      </c>
      <c r="J176" s="1" t="s">
        <v>655</v>
      </c>
      <c r="K176" s="1" t="s">
        <v>184</v>
      </c>
      <c r="L176" s="1"/>
      <c r="M176" s="1" t="s">
        <v>254</v>
      </c>
      <c r="N176" s="6">
        <f>IFERROR(__xludf.DUMMYFUNCTION("IF(REGEXMATCH(A176, ""^00-""), 0, IF(AND(EQ(F176, """"), EQ(G176, """")), 1, 0))"),0.0)</f>
        <v>0</v>
      </c>
      <c r="O176" s="6">
        <f>IFERROR(__xludf.DUMMYFUNCTION("IF(REGEXMATCH(A176, ""^00-""), 0, IF(AND(NE(F176, """"), EQ(G176, """")), 1, 0))"),1.0)</f>
        <v>1</v>
      </c>
      <c r="P176" s="6">
        <f>IFERROR(__xludf.DUMMYFUNCTION("IF(REGEXMATCH(A176, ""^00-""), 0, IF(AND(EQ(F176, """"), NE(G176, """")), 1, 0))"),0.0)</f>
        <v>0</v>
      </c>
      <c r="Q176" s="6">
        <f>IFERROR(__xludf.DUMMYFUNCTION("IF(REGEXMATCH(A176, ""^00-""), 0, IF(AND(NE(F176, """"), NE(G176, """")), 1, 0))"),0.0)</f>
        <v>0</v>
      </c>
      <c r="R176" s="6">
        <f t="shared" si="1"/>
        <v>1</v>
      </c>
    </row>
    <row r="177">
      <c r="A177" s="1" t="s">
        <v>26</v>
      </c>
      <c r="B177" s="1" t="s">
        <v>663</v>
      </c>
      <c r="C177" s="1">
        <v>1.0</v>
      </c>
      <c r="D177" s="1">
        <v>531.0</v>
      </c>
      <c r="E177" s="1">
        <v>532.0</v>
      </c>
      <c r="F177" s="10" t="s">
        <v>664</v>
      </c>
      <c r="G177" s="1"/>
      <c r="H177" s="1" t="s">
        <v>235</v>
      </c>
      <c r="I177" s="1" t="s">
        <v>172</v>
      </c>
      <c r="J177" s="1" t="s">
        <v>655</v>
      </c>
      <c r="K177" s="1" t="s">
        <v>184</v>
      </c>
      <c r="L177" s="1"/>
      <c r="M177" s="1" t="s">
        <v>665</v>
      </c>
      <c r="N177" s="6">
        <f>IFERROR(__xludf.DUMMYFUNCTION("IF(REGEXMATCH(A177, ""^00-""), 0, IF(AND(EQ(F177, """"), EQ(G177, """")), 1, 0))"),0.0)</f>
        <v>0</v>
      </c>
      <c r="O177" s="6">
        <f>IFERROR(__xludf.DUMMYFUNCTION("IF(REGEXMATCH(A177, ""^00-""), 0, IF(AND(NE(F177, """"), EQ(G177, """")), 1, 0))"),1.0)</f>
        <v>1</v>
      </c>
      <c r="P177" s="6">
        <f>IFERROR(__xludf.DUMMYFUNCTION("IF(REGEXMATCH(A177, ""^00-""), 0, IF(AND(EQ(F177, """"), NE(G177, """")), 1, 0))"),0.0)</f>
        <v>0</v>
      </c>
      <c r="Q177" s="6">
        <f>IFERROR(__xludf.DUMMYFUNCTION("IF(REGEXMATCH(A177, ""^00-""), 0, IF(AND(NE(F177, """"), NE(G177, """")), 1, 0))"),0.0)</f>
        <v>0</v>
      </c>
      <c r="R177" s="6">
        <f t="shared" si="1"/>
        <v>1</v>
      </c>
    </row>
    <row r="178">
      <c r="A178" s="1" t="s">
        <v>26</v>
      </c>
      <c r="B178" s="1" t="s">
        <v>666</v>
      </c>
      <c r="C178" s="1">
        <v>530.0</v>
      </c>
      <c r="D178" s="1">
        <v>2.0</v>
      </c>
      <c r="E178" s="1">
        <v>532.0</v>
      </c>
      <c r="F178" s="10" t="s">
        <v>667</v>
      </c>
      <c r="G178" s="1" t="s">
        <v>668</v>
      </c>
      <c r="H178" s="1" t="s">
        <v>190</v>
      </c>
      <c r="I178" s="1" t="s">
        <v>172</v>
      </c>
      <c r="J178" s="1" t="s">
        <v>655</v>
      </c>
      <c r="K178" s="1" t="s">
        <v>184</v>
      </c>
      <c r="L178" s="1"/>
      <c r="M178" s="1" t="s">
        <v>191</v>
      </c>
      <c r="N178" s="6">
        <f>IFERROR(__xludf.DUMMYFUNCTION("IF(REGEXMATCH(A178, ""^00-""), 0, IF(AND(EQ(F178, """"), EQ(G178, """")), 1, 0))"),0.0)</f>
        <v>0</v>
      </c>
      <c r="O178" s="6">
        <f>IFERROR(__xludf.DUMMYFUNCTION("IF(REGEXMATCH(A178, ""^00-""), 0, IF(AND(NE(F178, """"), EQ(G178, """")), 1, 0))"),0.0)</f>
        <v>0</v>
      </c>
      <c r="P178" s="6">
        <f>IFERROR(__xludf.DUMMYFUNCTION("IF(REGEXMATCH(A178, ""^00-""), 0, IF(AND(EQ(F178, """"), NE(G178, """")), 1, 0))"),0.0)</f>
        <v>0</v>
      </c>
      <c r="Q178" s="6">
        <f>IFERROR(__xludf.DUMMYFUNCTION("IF(REGEXMATCH(A178, ""^00-""), 0, IF(AND(NE(F178, """"), NE(G178, """")), 1, 0))"),1.0)</f>
        <v>1</v>
      </c>
      <c r="R178" s="6">
        <f t="shared" si="1"/>
        <v>1</v>
      </c>
    </row>
    <row r="179">
      <c r="A179" s="1" t="s">
        <v>26</v>
      </c>
      <c r="B179" s="1" t="s">
        <v>669</v>
      </c>
      <c r="C179" s="1">
        <v>454.0</v>
      </c>
      <c r="D179" s="1">
        <v>78.0</v>
      </c>
      <c r="E179" s="1">
        <v>532.0</v>
      </c>
      <c r="F179" s="10" t="s">
        <v>670</v>
      </c>
      <c r="G179" s="1" t="s">
        <v>671</v>
      </c>
      <c r="H179" s="1" t="s">
        <v>235</v>
      </c>
      <c r="I179" s="1" t="s">
        <v>172</v>
      </c>
      <c r="J179" s="1" t="s">
        <v>655</v>
      </c>
      <c r="K179" s="1" t="s">
        <v>184</v>
      </c>
      <c r="L179" s="1"/>
      <c r="M179" s="1" t="s">
        <v>408</v>
      </c>
      <c r="N179" s="6">
        <f>IFERROR(__xludf.DUMMYFUNCTION("IF(REGEXMATCH(A179, ""^00-""), 0, IF(AND(EQ(F179, """"), EQ(G179, """")), 1, 0))"),0.0)</f>
        <v>0</v>
      </c>
      <c r="O179" s="6">
        <f>IFERROR(__xludf.DUMMYFUNCTION("IF(REGEXMATCH(A179, ""^00-""), 0, IF(AND(NE(F179, """"), EQ(G179, """")), 1, 0))"),0.0)</f>
        <v>0</v>
      </c>
      <c r="P179" s="6">
        <f>IFERROR(__xludf.DUMMYFUNCTION("IF(REGEXMATCH(A179, ""^00-""), 0, IF(AND(EQ(F179, """"), NE(G179, """")), 1, 0))"),0.0)</f>
        <v>0</v>
      </c>
      <c r="Q179" s="6">
        <f>IFERROR(__xludf.DUMMYFUNCTION("IF(REGEXMATCH(A179, ""^00-""), 0, IF(AND(NE(F179, """"), NE(G179, """")), 1, 0))"),1.0)</f>
        <v>1</v>
      </c>
      <c r="R179" s="6">
        <f t="shared" si="1"/>
        <v>1</v>
      </c>
    </row>
    <row r="180">
      <c r="A180" s="1" t="s">
        <v>28</v>
      </c>
      <c r="B180" s="1" t="s">
        <v>672</v>
      </c>
      <c r="C180" s="1">
        <v>3.0</v>
      </c>
      <c r="D180" s="1">
        <v>489.0</v>
      </c>
      <c r="E180" s="1">
        <v>492.0</v>
      </c>
      <c r="F180" s="10" t="s">
        <v>673</v>
      </c>
      <c r="G180" s="1"/>
      <c r="H180" s="1" t="s">
        <v>250</v>
      </c>
      <c r="I180" s="1" t="s">
        <v>172</v>
      </c>
      <c r="J180" s="1" t="s">
        <v>674</v>
      </c>
      <c r="K180" s="1" t="s">
        <v>184</v>
      </c>
      <c r="L180" s="1"/>
      <c r="M180" s="1" t="s">
        <v>250</v>
      </c>
      <c r="N180" s="6">
        <f>IFERROR(__xludf.DUMMYFUNCTION("IF(REGEXMATCH(A180, ""^00-""), 0, IF(AND(EQ(F180, """"), EQ(G180, """")), 1, 0))"),0.0)</f>
        <v>0</v>
      </c>
      <c r="O180" s="6">
        <f>IFERROR(__xludf.DUMMYFUNCTION("IF(REGEXMATCH(A180, ""^00-""), 0, IF(AND(NE(F180, """"), EQ(G180, """")), 1, 0))"),1.0)</f>
        <v>1</v>
      </c>
      <c r="P180" s="6">
        <f>IFERROR(__xludf.DUMMYFUNCTION("IF(REGEXMATCH(A180, ""^00-""), 0, IF(AND(EQ(F180, """"), NE(G180, """")), 1, 0))"),0.0)</f>
        <v>0</v>
      </c>
      <c r="Q180" s="6">
        <f>IFERROR(__xludf.DUMMYFUNCTION("IF(REGEXMATCH(A180, ""^00-""), 0, IF(AND(NE(F180, """"), NE(G180, """")), 1, 0))"),0.0)</f>
        <v>0</v>
      </c>
      <c r="R180" s="6">
        <f t="shared" si="1"/>
        <v>1</v>
      </c>
    </row>
    <row r="181">
      <c r="A181" s="1" t="s">
        <v>28</v>
      </c>
      <c r="B181" s="1" t="s">
        <v>675</v>
      </c>
      <c r="C181" s="1">
        <v>2.0</v>
      </c>
      <c r="D181" s="1">
        <v>490.0</v>
      </c>
      <c r="E181" s="1">
        <v>492.0</v>
      </c>
      <c r="F181" s="7" t="s">
        <v>676</v>
      </c>
      <c r="G181" s="7"/>
      <c r="H181" s="1" t="s">
        <v>254</v>
      </c>
      <c r="I181" s="1" t="s">
        <v>172</v>
      </c>
      <c r="J181" s="1" t="s">
        <v>674</v>
      </c>
      <c r="K181" s="1" t="s">
        <v>184</v>
      </c>
      <c r="L181" s="1"/>
      <c r="M181" s="1" t="s">
        <v>254</v>
      </c>
      <c r="N181" s="6">
        <f>IFERROR(__xludf.DUMMYFUNCTION("IF(REGEXMATCH(A181, ""^00-""), 0, IF(AND(EQ(F181, """"), EQ(G181, """")), 1, 0))"),0.0)</f>
        <v>0</v>
      </c>
      <c r="O181" s="6">
        <f>IFERROR(__xludf.DUMMYFUNCTION("IF(REGEXMATCH(A181, ""^00-""), 0, IF(AND(NE(F181, """"), EQ(G181, """")), 1, 0))"),1.0)</f>
        <v>1</v>
      </c>
      <c r="P181" s="6">
        <f>IFERROR(__xludf.DUMMYFUNCTION("IF(REGEXMATCH(A181, ""^00-""), 0, IF(AND(EQ(F181, """"), NE(G181, """")), 1, 0))"),0.0)</f>
        <v>0</v>
      </c>
      <c r="Q181" s="6">
        <f>IFERROR(__xludf.DUMMYFUNCTION("IF(REGEXMATCH(A181, ""^00-""), 0, IF(AND(NE(F181, """"), NE(G181, """")), 1, 0))"),0.0)</f>
        <v>0</v>
      </c>
      <c r="R181" s="6">
        <f t="shared" si="1"/>
        <v>1</v>
      </c>
    </row>
    <row r="182">
      <c r="A182" s="1" t="s">
        <v>28</v>
      </c>
      <c r="B182" s="1" t="s">
        <v>677</v>
      </c>
      <c r="C182" s="1">
        <v>182.0</v>
      </c>
      <c r="D182" s="1">
        <v>310.0</v>
      </c>
      <c r="E182" s="1">
        <v>492.0</v>
      </c>
      <c r="F182" s="7" t="s">
        <v>678</v>
      </c>
      <c r="G182" s="7" t="s">
        <v>679</v>
      </c>
      <c r="H182" s="1" t="s">
        <v>235</v>
      </c>
      <c r="I182" s="1" t="s">
        <v>172</v>
      </c>
      <c r="J182" s="1" t="s">
        <v>674</v>
      </c>
      <c r="K182" s="1" t="s">
        <v>184</v>
      </c>
      <c r="L182" s="1"/>
      <c r="M182" s="1" t="s">
        <v>680</v>
      </c>
      <c r="N182" s="6">
        <f>IFERROR(__xludf.DUMMYFUNCTION("IF(REGEXMATCH(A182, ""^00-""), 0, IF(AND(EQ(F182, """"), EQ(G182, """")), 1, 0))"),0.0)</f>
        <v>0</v>
      </c>
      <c r="O182" s="6">
        <f>IFERROR(__xludf.DUMMYFUNCTION("IF(REGEXMATCH(A182, ""^00-""), 0, IF(AND(NE(F182, """"), EQ(G182, """")), 1, 0))"),0.0)</f>
        <v>0</v>
      </c>
      <c r="P182" s="6">
        <f>IFERROR(__xludf.DUMMYFUNCTION("IF(REGEXMATCH(A182, ""^00-""), 0, IF(AND(EQ(F182, """"), NE(G182, """")), 1, 0))"),0.0)</f>
        <v>0</v>
      </c>
      <c r="Q182" s="6">
        <f>IFERROR(__xludf.DUMMYFUNCTION("IF(REGEXMATCH(A182, ""^00-""), 0, IF(AND(NE(F182, """"), NE(G182, """")), 1, 0))"),1.0)</f>
        <v>1</v>
      </c>
      <c r="R182" s="6">
        <f t="shared" si="1"/>
        <v>1</v>
      </c>
    </row>
    <row r="183">
      <c r="A183" s="1" t="s">
        <v>28</v>
      </c>
      <c r="B183" s="1" t="s">
        <v>681</v>
      </c>
      <c r="C183" s="1">
        <v>125.0</v>
      </c>
      <c r="D183" s="1">
        <v>367.0</v>
      </c>
      <c r="E183" s="1">
        <v>492.0</v>
      </c>
      <c r="F183" s="7" t="s">
        <v>682</v>
      </c>
      <c r="G183" s="7" t="s">
        <v>683</v>
      </c>
      <c r="H183" s="1" t="s">
        <v>235</v>
      </c>
      <c r="I183" s="1" t="s">
        <v>172</v>
      </c>
      <c r="J183" s="1" t="s">
        <v>674</v>
      </c>
      <c r="K183" s="1" t="s">
        <v>184</v>
      </c>
      <c r="L183" s="1"/>
      <c r="M183" s="1" t="s">
        <v>684</v>
      </c>
      <c r="N183" s="6">
        <f>IFERROR(__xludf.DUMMYFUNCTION("IF(REGEXMATCH(A183, ""^00-""), 0, IF(AND(EQ(F183, """"), EQ(G183, """")), 1, 0))"),0.0)</f>
        <v>0</v>
      </c>
      <c r="O183" s="6">
        <f>IFERROR(__xludf.DUMMYFUNCTION("IF(REGEXMATCH(A183, ""^00-""), 0, IF(AND(NE(F183, """"), EQ(G183, """")), 1, 0))"),0.0)</f>
        <v>0</v>
      </c>
      <c r="P183" s="6">
        <f>IFERROR(__xludf.DUMMYFUNCTION("IF(REGEXMATCH(A183, ""^00-""), 0, IF(AND(EQ(F183, """"), NE(G183, """")), 1, 0))"),0.0)</f>
        <v>0</v>
      </c>
      <c r="Q183" s="6">
        <f>IFERROR(__xludf.DUMMYFUNCTION("IF(REGEXMATCH(A183, ""^00-""), 0, IF(AND(NE(F183, """"), NE(G183, """")), 1, 0))"),1.0)</f>
        <v>1</v>
      </c>
      <c r="R183" s="6">
        <f t="shared" si="1"/>
        <v>1</v>
      </c>
    </row>
    <row r="184">
      <c r="A184" s="1" t="s">
        <v>28</v>
      </c>
      <c r="B184" s="1" t="s">
        <v>685</v>
      </c>
      <c r="C184" s="1">
        <v>3.0</v>
      </c>
      <c r="D184" s="1">
        <v>489.0</v>
      </c>
      <c r="E184" s="1">
        <v>492.0</v>
      </c>
      <c r="F184" s="7" t="s">
        <v>686</v>
      </c>
      <c r="G184" s="7" t="s">
        <v>687</v>
      </c>
      <c r="H184" s="1" t="s">
        <v>235</v>
      </c>
      <c r="I184" s="1" t="s">
        <v>172</v>
      </c>
      <c r="J184" s="1" t="s">
        <v>674</v>
      </c>
      <c r="K184" s="1" t="s">
        <v>184</v>
      </c>
      <c r="L184" s="1"/>
      <c r="M184" s="1" t="s">
        <v>688</v>
      </c>
      <c r="N184" s="6">
        <f>IFERROR(__xludf.DUMMYFUNCTION("IF(REGEXMATCH(A184, ""^00-""), 0, IF(AND(EQ(F184, """"), EQ(G184, """")), 1, 0))"),0.0)</f>
        <v>0</v>
      </c>
      <c r="O184" s="6">
        <f>IFERROR(__xludf.DUMMYFUNCTION("IF(REGEXMATCH(A184, ""^00-""), 0, IF(AND(NE(F184, """"), EQ(G184, """")), 1, 0))"),0.0)</f>
        <v>0</v>
      </c>
      <c r="P184" s="6">
        <f>IFERROR(__xludf.DUMMYFUNCTION("IF(REGEXMATCH(A184, ""^00-""), 0, IF(AND(EQ(F184, """"), NE(G184, """")), 1, 0))"),0.0)</f>
        <v>0</v>
      </c>
      <c r="Q184" s="6">
        <f>IFERROR(__xludf.DUMMYFUNCTION("IF(REGEXMATCH(A184, ""^00-""), 0, IF(AND(NE(F184, """"), NE(G184, """")), 1, 0))"),1.0)</f>
        <v>1</v>
      </c>
      <c r="R184" s="6">
        <f t="shared" si="1"/>
        <v>1</v>
      </c>
    </row>
    <row r="185">
      <c r="A185" s="1" t="s">
        <v>28</v>
      </c>
      <c r="B185" s="1" t="s">
        <v>689</v>
      </c>
      <c r="C185" s="1">
        <v>10.0</v>
      </c>
      <c r="D185" s="1">
        <v>482.0</v>
      </c>
      <c r="E185" s="1">
        <v>492.0</v>
      </c>
      <c r="F185" s="7" t="s">
        <v>690</v>
      </c>
      <c r="G185" s="7" t="s">
        <v>691</v>
      </c>
      <c r="H185" s="1" t="s">
        <v>235</v>
      </c>
      <c r="I185" s="1" t="s">
        <v>172</v>
      </c>
      <c r="J185" s="1" t="s">
        <v>674</v>
      </c>
      <c r="K185" s="1" t="s">
        <v>184</v>
      </c>
      <c r="L185" s="1"/>
      <c r="M185" s="1" t="s">
        <v>692</v>
      </c>
      <c r="N185" s="6">
        <f>IFERROR(__xludf.DUMMYFUNCTION("IF(REGEXMATCH(A185, ""^00-""), 0, IF(AND(EQ(F185, """"), EQ(G185, """")), 1, 0))"),0.0)</f>
        <v>0</v>
      </c>
      <c r="O185" s="6">
        <f>IFERROR(__xludf.DUMMYFUNCTION("IF(REGEXMATCH(A185, ""^00-""), 0, IF(AND(NE(F185, """"), EQ(G185, """")), 1, 0))"),0.0)</f>
        <v>0</v>
      </c>
      <c r="P185" s="6">
        <f>IFERROR(__xludf.DUMMYFUNCTION("IF(REGEXMATCH(A185, ""^00-""), 0, IF(AND(EQ(F185, """"), NE(G185, """")), 1, 0))"),0.0)</f>
        <v>0</v>
      </c>
      <c r="Q185" s="6">
        <f>IFERROR(__xludf.DUMMYFUNCTION("IF(REGEXMATCH(A185, ""^00-""), 0, IF(AND(NE(F185, """"), NE(G185, """")), 1, 0))"),1.0)</f>
        <v>1</v>
      </c>
      <c r="R185" s="6">
        <f t="shared" si="1"/>
        <v>1</v>
      </c>
    </row>
    <row r="186">
      <c r="A186" s="1" t="s">
        <v>28</v>
      </c>
      <c r="B186" s="1" t="s">
        <v>693</v>
      </c>
      <c r="C186" s="1">
        <v>0.0</v>
      </c>
      <c r="D186" s="1">
        <v>492.0</v>
      </c>
      <c r="E186" s="1">
        <v>492.0</v>
      </c>
      <c r="F186" s="7" t="s">
        <v>694</v>
      </c>
      <c r="G186" s="7" t="s">
        <v>695</v>
      </c>
      <c r="H186" s="1" t="s">
        <v>182</v>
      </c>
      <c r="I186" s="1" t="s">
        <v>172</v>
      </c>
      <c r="J186" s="1" t="s">
        <v>674</v>
      </c>
      <c r="K186" s="1" t="s">
        <v>184</v>
      </c>
      <c r="L186" s="1"/>
      <c r="M186" s="1" t="s">
        <v>257</v>
      </c>
      <c r="N186" s="6">
        <f>IFERROR(__xludf.DUMMYFUNCTION("IF(REGEXMATCH(A186, ""^00-""), 0, IF(AND(EQ(F186, """"), EQ(G186, """")), 1, 0))"),0.0)</f>
        <v>0</v>
      </c>
      <c r="O186" s="6">
        <f>IFERROR(__xludf.DUMMYFUNCTION("IF(REGEXMATCH(A186, ""^00-""), 0, IF(AND(NE(F186, """"), EQ(G186, """")), 1, 0))"),0.0)</f>
        <v>0</v>
      </c>
      <c r="P186" s="6">
        <f>IFERROR(__xludf.DUMMYFUNCTION("IF(REGEXMATCH(A186, ""^00-""), 0, IF(AND(EQ(F186, """"), NE(G186, """")), 1, 0))"),0.0)</f>
        <v>0</v>
      </c>
      <c r="Q186" s="6">
        <f>IFERROR(__xludf.DUMMYFUNCTION("IF(REGEXMATCH(A186, ""^00-""), 0, IF(AND(NE(F186, """"), NE(G186, """")), 1, 0))"),1.0)</f>
        <v>1</v>
      </c>
      <c r="R186" s="6">
        <f t="shared" si="1"/>
        <v>1</v>
      </c>
    </row>
    <row r="187">
      <c r="A187" s="1" t="s">
        <v>28</v>
      </c>
      <c r="B187" s="1" t="s">
        <v>696</v>
      </c>
      <c r="C187" s="1">
        <v>0.0</v>
      </c>
      <c r="D187" s="1">
        <v>492.0</v>
      </c>
      <c r="E187" s="1">
        <v>492.0</v>
      </c>
      <c r="F187" s="7" t="s">
        <v>697</v>
      </c>
      <c r="G187" s="7" t="s">
        <v>698</v>
      </c>
      <c r="H187" s="1" t="s">
        <v>182</v>
      </c>
      <c r="I187" s="1" t="s">
        <v>172</v>
      </c>
      <c r="J187" s="1" t="s">
        <v>674</v>
      </c>
      <c r="K187" s="1" t="s">
        <v>184</v>
      </c>
      <c r="L187" s="1"/>
      <c r="M187" s="1" t="s">
        <v>257</v>
      </c>
      <c r="N187" s="6">
        <f>IFERROR(__xludf.DUMMYFUNCTION("IF(REGEXMATCH(A187, ""^00-""), 0, IF(AND(EQ(F187, """"), EQ(G187, """")), 1, 0))"),0.0)</f>
        <v>0</v>
      </c>
      <c r="O187" s="6">
        <f>IFERROR(__xludf.DUMMYFUNCTION("IF(REGEXMATCH(A187, ""^00-""), 0, IF(AND(NE(F187, """"), EQ(G187, """")), 1, 0))"),0.0)</f>
        <v>0</v>
      </c>
      <c r="P187" s="6">
        <f>IFERROR(__xludf.DUMMYFUNCTION("IF(REGEXMATCH(A187, ""^00-""), 0, IF(AND(EQ(F187, """"), NE(G187, """")), 1, 0))"),0.0)</f>
        <v>0</v>
      </c>
      <c r="Q187" s="6">
        <f>IFERROR(__xludf.DUMMYFUNCTION("IF(REGEXMATCH(A187, ""^00-""), 0, IF(AND(NE(F187, """"), NE(G187, """")), 1, 0))"),1.0)</f>
        <v>1</v>
      </c>
      <c r="R187" s="6">
        <f t="shared" si="1"/>
        <v>1</v>
      </c>
    </row>
    <row r="188">
      <c r="A188" s="1" t="s">
        <v>30</v>
      </c>
      <c r="B188" s="1" t="s">
        <v>699</v>
      </c>
      <c r="C188" s="1">
        <v>518.0</v>
      </c>
      <c r="D188" s="1">
        <v>0.0</v>
      </c>
      <c r="E188" s="1">
        <v>518.0</v>
      </c>
      <c r="F188" s="7" t="s">
        <v>700</v>
      </c>
      <c r="G188" s="7" t="s">
        <v>701</v>
      </c>
      <c r="H188" s="1" t="s">
        <v>190</v>
      </c>
      <c r="I188" s="1" t="s">
        <v>172</v>
      </c>
      <c r="J188" s="1" t="s">
        <v>702</v>
      </c>
      <c r="K188" s="1" t="s">
        <v>184</v>
      </c>
      <c r="L188" s="1"/>
      <c r="M188" s="1" t="s">
        <v>191</v>
      </c>
      <c r="N188" s="6">
        <f>IFERROR(__xludf.DUMMYFUNCTION("IF(REGEXMATCH(A188, ""^00-""), 0, IF(AND(EQ(F188, """"), EQ(G188, """")), 1, 0))"),0.0)</f>
        <v>0</v>
      </c>
      <c r="O188" s="6">
        <f>IFERROR(__xludf.DUMMYFUNCTION("IF(REGEXMATCH(A188, ""^00-""), 0, IF(AND(NE(F188, """"), EQ(G188, """")), 1, 0))"),0.0)</f>
        <v>0</v>
      </c>
      <c r="P188" s="6">
        <f>IFERROR(__xludf.DUMMYFUNCTION("IF(REGEXMATCH(A188, ""^00-""), 0, IF(AND(EQ(F188, """"), NE(G188, """")), 1, 0))"),0.0)</f>
        <v>0</v>
      </c>
      <c r="Q188" s="6">
        <f>IFERROR(__xludf.DUMMYFUNCTION("IF(REGEXMATCH(A188, ""^00-""), 0, IF(AND(NE(F188, """"), NE(G188, """")), 1, 0))"),1.0)</f>
        <v>1</v>
      </c>
      <c r="R188" s="6">
        <f t="shared" si="1"/>
        <v>1</v>
      </c>
    </row>
    <row r="189">
      <c r="A189" s="1" t="s">
        <v>30</v>
      </c>
      <c r="B189" s="1" t="s">
        <v>703</v>
      </c>
      <c r="C189" s="1">
        <v>47.0</v>
      </c>
      <c r="D189" s="1">
        <v>471.0</v>
      </c>
      <c r="E189" s="1">
        <v>518.0</v>
      </c>
      <c r="F189" s="7" t="s">
        <v>704</v>
      </c>
      <c r="G189" s="7" t="s">
        <v>705</v>
      </c>
      <c r="H189" s="1" t="s">
        <v>250</v>
      </c>
      <c r="I189" s="1" t="s">
        <v>172</v>
      </c>
      <c r="J189" s="1" t="s">
        <v>702</v>
      </c>
      <c r="K189" s="1" t="s">
        <v>184</v>
      </c>
      <c r="L189" s="1"/>
      <c r="M189" s="1" t="s">
        <v>250</v>
      </c>
      <c r="N189" s="6">
        <f>IFERROR(__xludf.DUMMYFUNCTION("IF(REGEXMATCH(A189, ""^00-""), 0, IF(AND(EQ(F189, """"), EQ(G189, """")), 1, 0))"),0.0)</f>
        <v>0</v>
      </c>
      <c r="O189" s="6">
        <f>IFERROR(__xludf.DUMMYFUNCTION("IF(REGEXMATCH(A189, ""^00-""), 0, IF(AND(NE(F189, """"), EQ(G189, """")), 1, 0))"),0.0)</f>
        <v>0</v>
      </c>
      <c r="P189" s="6">
        <f>IFERROR(__xludf.DUMMYFUNCTION("IF(REGEXMATCH(A189, ""^00-""), 0, IF(AND(EQ(F189, """"), NE(G189, """")), 1, 0))"),0.0)</f>
        <v>0</v>
      </c>
      <c r="Q189" s="6">
        <f>IFERROR(__xludf.DUMMYFUNCTION("IF(REGEXMATCH(A189, ""^00-""), 0, IF(AND(NE(F189, """"), NE(G189, """")), 1, 0))"),1.0)</f>
        <v>1</v>
      </c>
      <c r="R189" s="6">
        <f t="shared" si="1"/>
        <v>1</v>
      </c>
    </row>
    <row r="190">
      <c r="A190" s="1" t="s">
        <v>30</v>
      </c>
      <c r="B190" s="1" t="s">
        <v>706</v>
      </c>
      <c r="C190" s="1">
        <v>44.0</v>
      </c>
      <c r="D190" s="1">
        <v>474.0</v>
      </c>
      <c r="E190" s="1">
        <v>518.0</v>
      </c>
      <c r="F190" s="7" t="s">
        <v>707</v>
      </c>
      <c r="G190" s="7" t="s">
        <v>708</v>
      </c>
      <c r="H190" s="1" t="s">
        <v>254</v>
      </c>
      <c r="I190" s="1" t="s">
        <v>172</v>
      </c>
      <c r="J190" s="1" t="s">
        <v>702</v>
      </c>
      <c r="K190" s="1" t="s">
        <v>184</v>
      </c>
      <c r="L190" s="1"/>
      <c r="M190" s="1" t="s">
        <v>254</v>
      </c>
      <c r="N190" s="6">
        <f>IFERROR(__xludf.DUMMYFUNCTION("IF(REGEXMATCH(A190, ""^00-""), 0, IF(AND(EQ(F190, """"), EQ(G190, """")), 1, 0))"),0.0)</f>
        <v>0</v>
      </c>
      <c r="O190" s="6">
        <f>IFERROR(__xludf.DUMMYFUNCTION("IF(REGEXMATCH(A190, ""^00-""), 0, IF(AND(NE(F190, """"), EQ(G190, """")), 1, 0))"),0.0)</f>
        <v>0</v>
      </c>
      <c r="P190" s="6">
        <f>IFERROR(__xludf.DUMMYFUNCTION("IF(REGEXMATCH(A190, ""^00-""), 0, IF(AND(EQ(F190, """"), NE(G190, """")), 1, 0))"),0.0)</f>
        <v>0</v>
      </c>
      <c r="Q190" s="6">
        <f>IFERROR(__xludf.DUMMYFUNCTION("IF(REGEXMATCH(A190, ""^00-""), 0, IF(AND(NE(F190, """"), NE(G190, """")), 1, 0))"),1.0)</f>
        <v>1</v>
      </c>
      <c r="R190" s="6">
        <f t="shared" si="1"/>
        <v>1</v>
      </c>
    </row>
    <row r="191">
      <c r="A191" s="1" t="s">
        <v>30</v>
      </c>
      <c r="B191" s="1" t="s">
        <v>709</v>
      </c>
      <c r="C191" s="1">
        <v>45.0</v>
      </c>
      <c r="D191" s="1">
        <v>473.0</v>
      </c>
      <c r="E191" s="1">
        <v>518.0</v>
      </c>
      <c r="F191" s="7" t="s">
        <v>710</v>
      </c>
      <c r="G191" s="7" t="s">
        <v>711</v>
      </c>
      <c r="H191" s="1" t="s">
        <v>235</v>
      </c>
      <c r="I191" s="1" t="s">
        <v>172</v>
      </c>
      <c r="J191" s="1" t="s">
        <v>702</v>
      </c>
      <c r="K191" s="1" t="s">
        <v>184</v>
      </c>
      <c r="L191" s="1"/>
      <c r="M191" s="1" t="s">
        <v>712</v>
      </c>
      <c r="N191" s="6">
        <f>IFERROR(__xludf.DUMMYFUNCTION("IF(REGEXMATCH(A191, ""^00-""), 0, IF(AND(EQ(F191, """"), EQ(G191, """")), 1, 0))"),0.0)</f>
        <v>0</v>
      </c>
      <c r="O191" s="6">
        <f>IFERROR(__xludf.DUMMYFUNCTION("IF(REGEXMATCH(A191, ""^00-""), 0, IF(AND(NE(F191, """"), EQ(G191, """")), 1, 0))"),0.0)</f>
        <v>0</v>
      </c>
      <c r="P191" s="6">
        <f>IFERROR(__xludf.DUMMYFUNCTION("IF(REGEXMATCH(A191, ""^00-""), 0, IF(AND(EQ(F191, """"), NE(G191, """")), 1, 0))"),0.0)</f>
        <v>0</v>
      </c>
      <c r="Q191" s="6">
        <f>IFERROR(__xludf.DUMMYFUNCTION("IF(REGEXMATCH(A191, ""^00-""), 0, IF(AND(NE(F191, """"), NE(G191, """")), 1, 0))"),1.0)</f>
        <v>1</v>
      </c>
      <c r="R191" s="6">
        <f t="shared" si="1"/>
        <v>1</v>
      </c>
    </row>
    <row r="192">
      <c r="A192" s="1" t="s">
        <v>30</v>
      </c>
      <c r="B192" s="1" t="s">
        <v>713</v>
      </c>
      <c r="C192" s="1">
        <v>7.0</v>
      </c>
      <c r="D192" s="1">
        <v>511.0</v>
      </c>
      <c r="E192" s="1">
        <v>518.0</v>
      </c>
      <c r="F192" s="7" t="s">
        <v>714</v>
      </c>
      <c r="G192" s="7" t="s">
        <v>715</v>
      </c>
      <c r="H192" s="1" t="s">
        <v>171</v>
      </c>
      <c r="I192" s="1" t="s">
        <v>172</v>
      </c>
      <c r="J192" s="1" t="s">
        <v>702</v>
      </c>
      <c r="K192" s="1" t="s">
        <v>184</v>
      </c>
      <c r="L192" s="1"/>
      <c r="M192" s="1" t="s">
        <v>171</v>
      </c>
      <c r="N192" s="6">
        <f>IFERROR(__xludf.DUMMYFUNCTION("IF(REGEXMATCH(A192, ""^00-""), 0, IF(AND(EQ(F192, """"), EQ(G192, """")), 1, 0))"),0.0)</f>
        <v>0</v>
      </c>
      <c r="O192" s="6">
        <f>IFERROR(__xludf.DUMMYFUNCTION("IF(REGEXMATCH(A192, ""^00-""), 0, IF(AND(NE(F192, """"), EQ(G192, """")), 1, 0))"),0.0)</f>
        <v>0</v>
      </c>
      <c r="P192" s="6">
        <f>IFERROR(__xludf.DUMMYFUNCTION("IF(REGEXMATCH(A192, ""^00-""), 0, IF(AND(EQ(F192, """"), NE(G192, """")), 1, 0))"),0.0)</f>
        <v>0</v>
      </c>
      <c r="Q192" s="6">
        <f>IFERROR(__xludf.DUMMYFUNCTION("IF(REGEXMATCH(A192, ""^00-""), 0, IF(AND(NE(F192, """"), NE(G192, """")), 1, 0))"),1.0)</f>
        <v>1</v>
      </c>
      <c r="R192" s="6">
        <f t="shared" si="1"/>
        <v>1</v>
      </c>
    </row>
    <row r="193">
      <c r="A193" s="1" t="s">
        <v>30</v>
      </c>
      <c r="B193" s="1" t="s">
        <v>716</v>
      </c>
      <c r="C193" s="1">
        <v>518.0</v>
      </c>
      <c r="D193" s="1">
        <v>0.0</v>
      </c>
      <c r="E193" s="1">
        <v>518.0</v>
      </c>
      <c r="F193" s="7" t="s">
        <v>717</v>
      </c>
      <c r="G193" s="7" t="s">
        <v>718</v>
      </c>
      <c r="H193" s="1" t="s">
        <v>190</v>
      </c>
      <c r="I193" s="1" t="s">
        <v>172</v>
      </c>
      <c r="J193" s="1" t="s">
        <v>702</v>
      </c>
      <c r="K193" s="1" t="s">
        <v>184</v>
      </c>
      <c r="L193" s="1"/>
      <c r="M193" s="1" t="s">
        <v>191</v>
      </c>
      <c r="N193" s="6">
        <f>IFERROR(__xludf.DUMMYFUNCTION("IF(REGEXMATCH(A193, ""^00-""), 0, IF(AND(EQ(F193, """"), EQ(G193, """")), 1, 0))"),0.0)</f>
        <v>0</v>
      </c>
      <c r="O193" s="6">
        <f>IFERROR(__xludf.DUMMYFUNCTION("IF(REGEXMATCH(A193, ""^00-""), 0, IF(AND(NE(F193, """"), EQ(G193, """")), 1, 0))"),0.0)</f>
        <v>0</v>
      </c>
      <c r="P193" s="6">
        <f>IFERROR(__xludf.DUMMYFUNCTION("IF(REGEXMATCH(A193, ""^00-""), 0, IF(AND(EQ(F193, """"), NE(G193, """")), 1, 0))"),0.0)</f>
        <v>0</v>
      </c>
      <c r="Q193" s="6">
        <f>IFERROR(__xludf.DUMMYFUNCTION("IF(REGEXMATCH(A193, ""^00-""), 0, IF(AND(NE(F193, """"), NE(G193, """")), 1, 0))"),1.0)</f>
        <v>1</v>
      </c>
      <c r="R193" s="6">
        <f t="shared" si="1"/>
        <v>1</v>
      </c>
    </row>
    <row r="194">
      <c r="A194" s="1" t="s">
        <v>30</v>
      </c>
      <c r="B194" s="1" t="s">
        <v>719</v>
      </c>
      <c r="C194" s="1">
        <v>16.0</v>
      </c>
      <c r="D194" s="1">
        <v>502.0</v>
      </c>
      <c r="E194" s="1">
        <v>518.0</v>
      </c>
      <c r="F194" s="7" t="s">
        <v>720</v>
      </c>
      <c r="G194" s="7" t="s">
        <v>721</v>
      </c>
      <c r="H194" s="1" t="s">
        <v>250</v>
      </c>
      <c r="I194" s="1" t="s">
        <v>172</v>
      </c>
      <c r="J194" s="1" t="s">
        <v>702</v>
      </c>
      <c r="K194" s="1" t="s">
        <v>184</v>
      </c>
      <c r="L194" s="1"/>
      <c r="M194" s="1" t="s">
        <v>250</v>
      </c>
      <c r="N194" s="6">
        <f>IFERROR(__xludf.DUMMYFUNCTION("IF(REGEXMATCH(A194, ""^00-""), 0, IF(AND(EQ(F194, """"), EQ(G194, """")), 1, 0))"),0.0)</f>
        <v>0</v>
      </c>
      <c r="O194" s="6">
        <f>IFERROR(__xludf.DUMMYFUNCTION("IF(REGEXMATCH(A194, ""^00-""), 0, IF(AND(NE(F194, """"), EQ(G194, """")), 1, 0))"),0.0)</f>
        <v>0</v>
      </c>
      <c r="P194" s="6">
        <f>IFERROR(__xludf.DUMMYFUNCTION("IF(REGEXMATCH(A194, ""^00-""), 0, IF(AND(EQ(F194, """"), NE(G194, """")), 1, 0))"),0.0)</f>
        <v>0</v>
      </c>
      <c r="Q194" s="6">
        <f>IFERROR(__xludf.DUMMYFUNCTION("IF(REGEXMATCH(A194, ""^00-""), 0, IF(AND(NE(F194, """"), NE(G194, """")), 1, 0))"),1.0)</f>
        <v>1</v>
      </c>
      <c r="R194" s="6">
        <f t="shared" si="1"/>
        <v>1</v>
      </c>
    </row>
    <row r="195">
      <c r="A195" s="1" t="s">
        <v>30</v>
      </c>
      <c r="B195" s="1" t="s">
        <v>722</v>
      </c>
      <c r="C195" s="1">
        <v>14.0</v>
      </c>
      <c r="D195" s="1">
        <v>504.0</v>
      </c>
      <c r="E195" s="1">
        <v>518.0</v>
      </c>
      <c r="F195" s="7" t="s">
        <v>723</v>
      </c>
      <c r="G195" s="7" t="s">
        <v>724</v>
      </c>
      <c r="H195" s="1" t="s">
        <v>254</v>
      </c>
      <c r="I195" s="1" t="s">
        <v>172</v>
      </c>
      <c r="J195" s="1" t="s">
        <v>702</v>
      </c>
      <c r="K195" s="1" t="s">
        <v>184</v>
      </c>
      <c r="L195" s="1"/>
      <c r="M195" s="1" t="s">
        <v>254</v>
      </c>
      <c r="N195" s="6">
        <f>IFERROR(__xludf.DUMMYFUNCTION("IF(REGEXMATCH(A195, ""^00-""), 0, IF(AND(EQ(F195, """"), EQ(G195, """")), 1, 0))"),0.0)</f>
        <v>0</v>
      </c>
      <c r="O195" s="6">
        <f>IFERROR(__xludf.DUMMYFUNCTION("IF(REGEXMATCH(A195, ""^00-""), 0, IF(AND(NE(F195, """"), EQ(G195, """")), 1, 0))"),0.0)</f>
        <v>0</v>
      </c>
      <c r="P195" s="6">
        <f>IFERROR(__xludf.DUMMYFUNCTION("IF(REGEXMATCH(A195, ""^00-""), 0, IF(AND(EQ(F195, """"), NE(G195, """")), 1, 0))"),0.0)</f>
        <v>0</v>
      </c>
      <c r="Q195" s="6">
        <f>IFERROR(__xludf.DUMMYFUNCTION("IF(REGEXMATCH(A195, ""^00-""), 0, IF(AND(NE(F195, """"), NE(G195, """")), 1, 0))"),1.0)</f>
        <v>1</v>
      </c>
      <c r="R195" s="6">
        <f t="shared" si="1"/>
        <v>1</v>
      </c>
    </row>
    <row r="196">
      <c r="A196" s="1" t="s">
        <v>30</v>
      </c>
      <c r="B196" s="1" t="s">
        <v>725</v>
      </c>
      <c r="C196" s="1">
        <v>16.0</v>
      </c>
      <c r="D196" s="1">
        <v>502.0</v>
      </c>
      <c r="E196" s="1">
        <v>518.0</v>
      </c>
      <c r="F196" s="7" t="s">
        <v>726</v>
      </c>
      <c r="G196" s="7" t="s">
        <v>727</v>
      </c>
      <c r="H196" s="1" t="s">
        <v>235</v>
      </c>
      <c r="I196" s="1" t="s">
        <v>172</v>
      </c>
      <c r="J196" s="1" t="s">
        <v>702</v>
      </c>
      <c r="K196" s="1" t="s">
        <v>184</v>
      </c>
      <c r="L196" s="1"/>
      <c r="M196" s="1" t="s">
        <v>712</v>
      </c>
      <c r="N196" s="6">
        <f>IFERROR(__xludf.DUMMYFUNCTION("IF(REGEXMATCH(A196, ""^00-""), 0, IF(AND(EQ(F196, """"), EQ(G196, """")), 1, 0))"),0.0)</f>
        <v>0</v>
      </c>
      <c r="O196" s="6">
        <f>IFERROR(__xludf.DUMMYFUNCTION("IF(REGEXMATCH(A196, ""^00-""), 0, IF(AND(NE(F196, """"), EQ(G196, """")), 1, 0))"),0.0)</f>
        <v>0</v>
      </c>
      <c r="P196" s="6">
        <f>IFERROR(__xludf.DUMMYFUNCTION("IF(REGEXMATCH(A196, ""^00-""), 0, IF(AND(EQ(F196, """"), NE(G196, """")), 1, 0))"),0.0)</f>
        <v>0</v>
      </c>
      <c r="Q196" s="6">
        <f>IFERROR(__xludf.DUMMYFUNCTION("IF(REGEXMATCH(A196, ""^00-""), 0, IF(AND(NE(F196, """"), NE(G196, """")), 1, 0))"),1.0)</f>
        <v>1</v>
      </c>
      <c r="R196" s="6">
        <f t="shared" si="1"/>
        <v>1</v>
      </c>
    </row>
    <row r="197">
      <c r="A197" s="1" t="s">
        <v>30</v>
      </c>
      <c r="B197" s="1" t="s">
        <v>728</v>
      </c>
      <c r="C197" s="1">
        <v>6.0</v>
      </c>
      <c r="D197" s="1">
        <v>512.0</v>
      </c>
      <c r="E197" s="1">
        <v>518.0</v>
      </c>
      <c r="F197" s="7" t="s">
        <v>729</v>
      </c>
      <c r="G197" s="7" t="s">
        <v>730</v>
      </c>
      <c r="H197" s="1" t="s">
        <v>171</v>
      </c>
      <c r="I197" s="1" t="s">
        <v>172</v>
      </c>
      <c r="J197" s="1" t="s">
        <v>702</v>
      </c>
      <c r="K197" s="1" t="s">
        <v>184</v>
      </c>
      <c r="L197" s="1"/>
      <c r="M197" s="1" t="s">
        <v>171</v>
      </c>
      <c r="N197" s="6">
        <f>IFERROR(__xludf.DUMMYFUNCTION("IF(REGEXMATCH(A197, ""^00-""), 0, IF(AND(EQ(F197, """"), EQ(G197, """")), 1, 0))"),0.0)</f>
        <v>0</v>
      </c>
      <c r="O197" s="6">
        <f>IFERROR(__xludf.DUMMYFUNCTION("IF(REGEXMATCH(A197, ""^00-""), 0, IF(AND(NE(F197, """"), EQ(G197, """")), 1, 0))"),0.0)</f>
        <v>0</v>
      </c>
      <c r="P197" s="6">
        <f>IFERROR(__xludf.DUMMYFUNCTION("IF(REGEXMATCH(A197, ""^00-""), 0, IF(AND(EQ(F197, """"), NE(G197, """")), 1, 0))"),0.0)</f>
        <v>0</v>
      </c>
      <c r="Q197" s="6">
        <f>IFERROR(__xludf.DUMMYFUNCTION("IF(REGEXMATCH(A197, ""^00-""), 0, IF(AND(NE(F197, """"), NE(G197, """")), 1, 0))"),1.0)</f>
        <v>1</v>
      </c>
      <c r="R197" s="6">
        <f t="shared" si="1"/>
        <v>1</v>
      </c>
    </row>
    <row r="198">
      <c r="A198" s="1" t="s">
        <v>30</v>
      </c>
      <c r="B198" s="1" t="s">
        <v>731</v>
      </c>
      <c r="C198" s="1">
        <v>518.0</v>
      </c>
      <c r="D198" s="1">
        <v>0.0</v>
      </c>
      <c r="E198" s="1">
        <v>518.0</v>
      </c>
      <c r="F198" s="7" t="s">
        <v>732</v>
      </c>
      <c r="G198" s="7" t="s">
        <v>733</v>
      </c>
      <c r="H198" s="1" t="s">
        <v>190</v>
      </c>
      <c r="I198" s="1" t="s">
        <v>172</v>
      </c>
      <c r="J198" s="1" t="s">
        <v>702</v>
      </c>
      <c r="K198" s="1" t="s">
        <v>184</v>
      </c>
      <c r="L198" s="1"/>
      <c r="M198" s="1" t="s">
        <v>191</v>
      </c>
      <c r="N198" s="6">
        <f>IFERROR(__xludf.DUMMYFUNCTION("IF(REGEXMATCH(A198, ""^00-""), 0, IF(AND(EQ(F198, """"), EQ(G198, """")), 1, 0))"),0.0)</f>
        <v>0</v>
      </c>
      <c r="O198" s="6">
        <f>IFERROR(__xludf.DUMMYFUNCTION("IF(REGEXMATCH(A198, ""^00-""), 0, IF(AND(NE(F198, """"), EQ(G198, """")), 1, 0))"),0.0)</f>
        <v>0</v>
      </c>
      <c r="P198" s="6">
        <f>IFERROR(__xludf.DUMMYFUNCTION("IF(REGEXMATCH(A198, ""^00-""), 0, IF(AND(EQ(F198, """"), NE(G198, """")), 1, 0))"),0.0)</f>
        <v>0</v>
      </c>
      <c r="Q198" s="6">
        <f>IFERROR(__xludf.DUMMYFUNCTION("IF(REGEXMATCH(A198, ""^00-""), 0, IF(AND(NE(F198, """"), NE(G198, """")), 1, 0))"),1.0)</f>
        <v>1</v>
      </c>
      <c r="R198" s="6">
        <f t="shared" si="1"/>
        <v>1</v>
      </c>
    </row>
    <row r="199">
      <c r="A199" s="1" t="s">
        <v>30</v>
      </c>
      <c r="B199" s="1" t="s">
        <v>734</v>
      </c>
      <c r="C199" s="1">
        <v>4.0</v>
      </c>
      <c r="D199" s="1">
        <v>514.0</v>
      </c>
      <c r="E199" s="1">
        <v>518.0</v>
      </c>
      <c r="F199" s="7" t="s">
        <v>735</v>
      </c>
      <c r="G199" s="7" t="s">
        <v>736</v>
      </c>
      <c r="H199" s="1" t="s">
        <v>250</v>
      </c>
      <c r="I199" s="1" t="s">
        <v>172</v>
      </c>
      <c r="J199" s="1" t="s">
        <v>702</v>
      </c>
      <c r="K199" s="1" t="s">
        <v>184</v>
      </c>
      <c r="L199" s="1"/>
      <c r="M199" s="1" t="s">
        <v>250</v>
      </c>
      <c r="N199" s="6">
        <f>IFERROR(__xludf.DUMMYFUNCTION("IF(REGEXMATCH(A199, ""^00-""), 0, IF(AND(EQ(F199, """"), EQ(G199, """")), 1, 0))"),0.0)</f>
        <v>0</v>
      </c>
      <c r="O199" s="6">
        <f>IFERROR(__xludf.DUMMYFUNCTION("IF(REGEXMATCH(A199, ""^00-""), 0, IF(AND(NE(F199, """"), EQ(G199, """")), 1, 0))"),0.0)</f>
        <v>0</v>
      </c>
      <c r="P199" s="6">
        <f>IFERROR(__xludf.DUMMYFUNCTION("IF(REGEXMATCH(A199, ""^00-""), 0, IF(AND(EQ(F199, """"), NE(G199, """")), 1, 0))"),0.0)</f>
        <v>0</v>
      </c>
      <c r="Q199" s="6">
        <f>IFERROR(__xludf.DUMMYFUNCTION("IF(REGEXMATCH(A199, ""^00-""), 0, IF(AND(NE(F199, """"), NE(G199, """")), 1, 0))"),1.0)</f>
        <v>1</v>
      </c>
      <c r="R199" s="6">
        <f t="shared" si="1"/>
        <v>1</v>
      </c>
    </row>
    <row r="200">
      <c r="A200" s="1" t="s">
        <v>30</v>
      </c>
      <c r="B200" s="1" t="s">
        <v>737</v>
      </c>
      <c r="C200" s="1">
        <v>3.0</v>
      </c>
      <c r="D200" s="1">
        <v>515.0</v>
      </c>
      <c r="E200" s="1">
        <v>518.0</v>
      </c>
      <c r="F200" s="7" t="s">
        <v>738</v>
      </c>
      <c r="G200" s="7" t="s">
        <v>739</v>
      </c>
      <c r="H200" s="1" t="s">
        <v>254</v>
      </c>
      <c r="I200" s="1" t="s">
        <v>172</v>
      </c>
      <c r="J200" s="1" t="s">
        <v>702</v>
      </c>
      <c r="K200" s="1" t="s">
        <v>184</v>
      </c>
      <c r="L200" s="1"/>
      <c r="M200" s="1" t="s">
        <v>254</v>
      </c>
      <c r="N200" s="6">
        <f>IFERROR(__xludf.DUMMYFUNCTION("IF(REGEXMATCH(A200, ""^00-""), 0, IF(AND(EQ(F200, """"), EQ(G200, """")), 1, 0))"),0.0)</f>
        <v>0</v>
      </c>
      <c r="O200" s="6">
        <f>IFERROR(__xludf.DUMMYFUNCTION("IF(REGEXMATCH(A200, ""^00-""), 0, IF(AND(NE(F200, """"), EQ(G200, """")), 1, 0))"),0.0)</f>
        <v>0</v>
      </c>
      <c r="P200" s="6">
        <f>IFERROR(__xludf.DUMMYFUNCTION("IF(REGEXMATCH(A200, ""^00-""), 0, IF(AND(EQ(F200, """"), NE(G200, """")), 1, 0))"),0.0)</f>
        <v>0</v>
      </c>
      <c r="Q200" s="6">
        <f>IFERROR(__xludf.DUMMYFUNCTION("IF(REGEXMATCH(A200, ""^00-""), 0, IF(AND(NE(F200, """"), NE(G200, """")), 1, 0))"),1.0)</f>
        <v>1</v>
      </c>
      <c r="R200" s="6">
        <f t="shared" si="1"/>
        <v>1</v>
      </c>
    </row>
    <row r="201">
      <c r="A201" s="1" t="s">
        <v>30</v>
      </c>
      <c r="B201" s="1" t="s">
        <v>740</v>
      </c>
      <c r="C201" s="1">
        <v>4.0</v>
      </c>
      <c r="D201" s="1">
        <v>514.0</v>
      </c>
      <c r="E201" s="1">
        <v>518.0</v>
      </c>
      <c r="F201" s="7" t="s">
        <v>741</v>
      </c>
      <c r="G201" s="7" t="s">
        <v>742</v>
      </c>
      <c r="H201" s="1" t="s">
        <v>235</v>
      </c>
      <c r="I201" s="1" t="s">
        <v>172</v>
      </c>
      <c r="J201" s="1" t="s">
        <v>702</v>
      </c>
      <c r="K201" s="1" t="s">
        <v>184</v>
      </c>
      <c r="L201" s="1"/>
      <c r="M201" s="1" t="s">
        <v>712</v>
      </c>
      <c r="N201" s="6">
        <f>IFERROR(__xludf.DUMMYFUNCTION("IF(REGEXMATCH(A201, ""^00-""), 0, IF(AND(EQ(F201, """"), EQ(G201, """")), 1, 0))"),0.0)</f>
        <v>0</v>
      </c>
      <c r="O201" s="6">
        <f>IFERROR(__xludf.DUMMYFUNCTION("IF(REGEXMATCH(A201, ""^00-""), 0, IF(AND(NE(F201, """"), EQ(G201, """")), 1, 0))"),0.0)</f>
        <v>0</v>
      </c>
      <c r="P201" s="6">
        <f>IFERROR(__xludf.DUMMYFUNCTION("IF(REGEXMATCH(A201, ""^00-""), 0, IF(AND(EQ(F201, """"), NE(G201, """")), 1, 0))"),0.0)</f>
        <v>0</v>
      </c>
      <c r="Q201" s="6">
        <f>IFERROR(__xludf.DUMMYFUNCTION("IF(REGEXMATCH(A201, ""^00-""), 0, IF(AND(NE(F201, """"), NE(G201, """")), 1, 0))"),1.0)</f>
        <v>1</v>
      </c>
      <c r="R201" s="6">
        <f t="shared" si="1"/>
        <v>1</v>
      </c>
    </row>
    <row r="202">
      <c r="A202" s="1" t="s">
        <v>30</v>
      </c>
      <c r="B202" s="1" t="s">
        <v>743</v>
      </c>
      <c r="C202" s="1">
        <v>2.0</v>
      </c>
      <c r="D202" s="1">
        <v>516.0</v>
      </c>
      <c r="E202" s="1">
        <v>518.0</v>
      </c>
      <c r="F202" s="7" t="s">
        <v>744</v>
      </c>
      <c r="G202" s="7" t="s">
        <v>745</v>
      </c>
      <c r="H202" s="1" t="s">
        <v>171</v>
      </c>
      <c r="I202" s="1" t="s">
        <v>172</v>
      </c>
      <c r="J202" s="1" t="s">
        <v>702</v>
      </c>
      <c r="K202" s="1" t="s">
        <v>184</v>
      </c>
      <c r="L202" s="1"/>
      <c r="M202" s="1" t="s">
        <v>171</v>
      </c>
      <c r="N202" s="6">
        <f>IFERROR(__xludf.DUMMYFUNCTION("IF(REGEXMATCH(A202, ""^00-""), 0, IF(AND(EQ(F202, """"), EQ(G202, """")), 1, 0))"),0.0)</f>
        <v>0</v>
      </c>
      <c r="O202" s="6">
        <f>IFERROR(__xludf.DUMMYFUNCTION("IF(REGEXMATCH(A202, ""^00-""), 0, IF(AND(NE(F202, """"), EQ(G202, """")), 1, 0))"),0.0)</f>
        <v>0</v>
      </c>
      <c r="P202" s="6">
        <f>IFERROR(__xludf.DUMMYFUNCTION("IF(REGEXMATCH(A202, ""^00-""), 0, IF(AND(EQ(F202, """"), NE(G202, """")), 1, 0))"),0.0)</f>
        <v>0</v>
      </c>
      <c r="Q202" s="6">
        <f>IFERROR(__xludf.DUMMYFUNCTION("IF(REGEXMATCH(A202, ""^00-""), 0, IF(AND(NE(F202, """"), NE(G202, """")), 1, 0))"),1.0)</f>
        <v>1</v>
      </c>
      <c r="R202" s="6">
        <f t="shared" si="1"/>
        <v>1</v>
      </c>
    </row>
    <row r="203">
      <c r="A203" s="1" t="s">
        <v>32</v>
      </c>
      <c r="B203" s="1" t="s">
        <v>746</v>
      </c>
      <c r="C203" s="1">
        <v>532.0</v>
      </c>
      <c r="D203" s="1">
        <v>0.0</v>
      </c>
      <c r="E203" s="1">
        <v>532.0</v>
      </c>
      <c r="F203" s="7" t="s">
        <v>747</v>
      </c>
      <c r="G203" s="7" t="s">
        <v>748</v>
      </c>
      <c r="H203" s="1" t="s">
        <v>190</v>
      </c>
      <c r="I203" s="1" t="s">
        <v>172</v>
      </c>
      <c r="J203" s="1" t="s">
        <v>749</v>
      </c>
      <c r="K203" s="1" t="s">
        <v>184</v>
      </c>
      <c r="L203" s="1"/>
      <c r="M203" s="1" t="s">
        <v>191</v>
      </c>
      <c r="N203" s="6">
        <f>IFERROR(__xludf.DUMMYFUNCTION("IF(REGEXMATCH(A203, ""^00-""), 0, IF(AND(EQ(F203, """"), EQ(G203, """")), 1, 0))"),0.0)</f>
        <v>0</v>
      </c>
      <c r="O203" s="6">
        <f>IFERROR(__xludf.DUMMYFUNCTION("IF(REGEXMATCH(A203, ""^00-""), 0, IF(AND(NE(F203, """"), EQ(G203, """")), 1, 0))"),0.0)</f>
        <v>0</v>
      </c>
      <c r="P203" s="6">
        <f>IFERROR(__xludf.DUMMYFUNCTION("IF(REGEXMATCH(A203, ""^00-""), 0, IF(AND(EQ(F203, """"), NE(G203, """")), 1, 0))"),0.0)</f>
        <v>0</v>
      </c>
      <c r="Q203" s="6">
        <f>IFERROR(__xludf.DUMMYFUNCTION("IF(REGEXMATCH(A203, ""^00-""), 0, IF(AND(NE(F203, """"), NE(G203, """")), 1, 0))"),1.0)</f>
        <v>1</v>
      </c>
      <c r="R203" s="6">
        <f t="shared" si="1"/>
        <v>1</v>
      </c>
    </row>
    <row r="204">
      <c r="A204" s="1" t="s">
        <v>32</v>
      </c>
      <c r="B204" s="1" t="s">
        <v>750</v>
      </c>
      <c r="C204" s="1">
        <v>2.0</v>
      </c>
      <c r="D204" s="1">
        <v>530.0</v>
      </c>
      <c r="E204" s="1">
        <v>532.0</v>
      </c>
      <c r="F204" s="7" t="s">
        <v>751</v>
      </c>
      <c r="G204" s="7" t="s">
        <v>752</v>
      </c>
      <c r="H204" s="1" t="s">
        <v>235</v>
      </c>
      <c r="I204" s="1" t="s">
        <v>172</v>
      </c>
      <c r="J204" s="1" t="s">
        <v>749</v>
      </c>
      <c r="K204" s="1" t="s">
        <v>184</v>
      </c>
      <c r="L204" s="1"/>
      <c r="M204" s="1" t="s">
        <v>753</v>
      </c>
      <c r="N204" s="6">
        <f>IFERROR(__xludf.DUMMYFUNCTION("IF(REGEXMATCH(A204, ""^00-""), 0, IF(AND(EQ(F204, """"), EQ(G204, """")), 1, 0))"),0.0)</f>
        <v>0</v>
      </c>
      <c r="O204" s="6">
        <f>IFERROR(__xludf.DUMMYFUNCTION("IF(REGEXMATCH(A204, ""^00-""), 0, IF(AND(NE(F204, """"), EQ(G204, """")), 1, 0))"),0.0)</f>
        <v>0</v>
      </c>
      <c r="P204" s="6">
        <f>IFERROR(__xludf.DUMMYFUNCTION("IF(REGEXMATCH(A204, ""^00-""), 0, IF(AND(EQ(F204, """"), NE(G204, """")), 1, 0))"),0.0)</f>
        <v>0</v>
      </c>
      <c r="Q204" s="6">
        <f>IFERROR(__xludf.DUMMYFUNCTION("IF(REGEXMATCH(A204, ""^00-""), 0, IF(AND(NE(F204, """"), NE(G204, """")), 1, 0))"),1.0)</f>
        <v>1</v>
      </c>
      <c r="R204" s="6">
        <f t="shared" si="1"/>
        <v>1</v>
      </c>
    </row>
    <row r="205">
      <c r="A205" s="1" t="s">
        <v>32</v>
      </c>
      <c r="B205" s="1" t="s">
        <v>754</v>
      </c>
      <c r="C205" s="1">
        <v>530.0</v>
      </c>
      <c r="D205" s="1">
        <v>2.0</v>
      </c>
      <c r="E205" s="1">
        <v>532.0</v>
      </c>
      <c r="F205" s="7" t="s">
        <v>755</v>
      </c>
      <c r="G205" s="7" t="s">
        <v>756</v>
      </c>
      <c r="H205" s="1" t="s">
        <v>190</v>
      </c>
      <c r="I205" s="1" t="s">
        <v>172</v>
      </c>
      <c r="J205" s="1" t="s">
        <v>749</v>
      </c>
      <c r="K205" s="1" t="s">
        <v>184</v>
      </c>
      <c r="L205" s="1"/>
      <c r="M205" s="1" t="s">
        <v>191</v>
      </c>
      <c r="N205" s="6">
        <f>IFERROR(__xludf.DUMMYFUNCTION("IF(REGEXMATCH(A205, ""^00-""), 0, IF(AND(EQ(F205, """"), EQ(G205, """")), 1, 0))"),0.0)</f>
        <v>0</v>
      </c>
      <c r="O205" s="6">
        <f>IFERROR(__xludf.DUMMYFUNCTION("IF(REGEXMATCH(A205, ""^00-""), 0, IF(AND(NE(F205, """"), EQ(G205, """")), 1, 0))"),0.0)</f>
        <v>0</v>
      </c>
      <c r="P205" s="6">
        <f>IFERROR(__xludf.DUMMYFUNCTION("IF(REGEXMATCH(A205, ""^00-""), 0, IF(AND(EQ(F205, """"), NE(G205, """")), 1, 0))"),0.0)</f>
        <v>0</v>
      </c>
      <c r="Q205" s="6">
        <f>IFERROR(__xludf.DUMMYFUNCTION("IF(REGEXMATCH(A205, ""^00-""), 0, IF(AND(NE(F205, """"), NE(G205, """")), 1, 0))"),1.0)</f>
        <v>1</v>
      </c>
      <c r="R205" s="6">
        <f t="shared" si="1"/>
        <v>1</v>
      </c>
    </row>
    <row r="206">
      <c r="A206" s="1" t="s">
        <v>32</v>
      </c>
      <c r="B206" s="1" t="s">
        <v>757</v>
      </c>
      <c r="C206" s="1">
        <v>530.0</v>
      </c>
      <c r="D206" s="1">
        <v>2.0</v>
      </c>
      <c r="E206" s="1">
        <v>532.0</v>
      </c>
      <c r="F206" s="7" t="s">
        <v>758</v>
      </c>
      <c r="G206" s="7" t="s">
        <v>759</v>
      </c>
      <c r="H206" s="1" t="s">
        <v>269</v>
      </c>
      <c r="I206" s="1" t="s">
        <v>172</v>
      </c>
      <c r="J206" s="1" t="s">
        <v>749</v>
      </c>
      <c r="K206" s="1" t="s">
        <v>184</v>
      </c>
      <c r="L206" s="1"/>
      <c r="M206" s="1" t="s">
        <v>760</v>
      </c>
      <c r="N206" s="6">
        <f>IFERROR(__xludf.DUMMYFUNCTION("IF(REGEXMATCH(A206, ""^00-""), 0, IF(AND(EQ(F206, """"), EQ(G206, """")), 1, 0))"),0.0)</f>
        <v>0</v>
      </c>
      <c r="O206" s="6">
        <f>IFERROR(__xludf.DUMMYFUNCTION("IF(REGEXMATCH(A206, ""^00-""), 0, IF(AND(NE(F206, """"), EQ(G206, """")), 1, 0))"),0.0)</f>
        <v>0</v>
      </c>
      <c r="P206" s="6">
        <f>IFERROR(__xludf.DUMMYFUNCTION("IF(REGEXMATCH(A206, ""^00-""), 0, IF(AND(EQ(F206, """"), NE(G206, """")), 1, 0))"),0.0)</f>
        <v>0</v>
      </c>
      <c r="Q206" s="6">
        <f>IFERROR(__xludf.DUMMYFUNCTION("IF(REGEXMATCH(A206, ""^00-""), 0, IF(AND(NE(F206, """"), NE(G206, """")), 1, 0))"),1.0)</f>
        <v>1</v>
      </c>
      <c r="R206" s="6">
        <f t="shared" si="1"/>
        <v>1</v>
      </c>
    </row>
    <row r="207">
      <c r="A207" s="1" t="s">
        <v>32</v>
      </c>
      <c r="B207" s="1" t="s">
        <v>761</v>
      </c>
      <c r="C207" s="1">
        <v>530.0</v>
      </c>
      <c r="D207" s="1">
        <v>2.0</v>
      </c>
      <c r="E207" s="1">
        <v>532.0</v>
      </c>
      <c r="F207" s="7" t="s">
        <v>762</v>
      </c>
      <c r="G207" s="7" t="s">
        <v>763</v>
      </c>
      <c r="H207" s="1" t="s">
        <v>269</v>
      </c>
      <c r="I207" s="1" t="s">
        <v>172</v>
      </c>
      <c r="J207" s="1" t="s">
        <v>749</v>
      </c>
      <c r="K207" s="1" t="s">
        <v>184</v>
      </c>
      <c r="L207" s="1"/>
      <c r="M207" s="1" t="s">
        <v>764</v>
      </c>
      <c r="N207" s="6">
        <f>IFERROR(__xludf.DUMMYFUNCTION("IF(REGEXMATCH(A207, ""^00-""), 0, IF(AND(EQ(F207, """"), EQ(G207, """")), 1, 0))"),0.0)</f>
        <v>0</v>
      </c>
      <c r="O207" s="6">
        <f>IFERROR(__xludf.DUMMYFUNCTION("IF(REGEXMATCH(A207, ""^00-""), 0, IF(AND(NE(F207, """"), EQ(G207, """")), 1, 0))"),0.0)</f>
        <v>0</v>
      </c>
      <c r="P207" s="6">
        <f>IFERROR(__xludf.DUMMYFUNCTION("IF(REGEXMATCH(A207, ""^00-""), 0, IF(AND(EQ(F207, """"), NE(G207, """")), 1, 0))"),0.0)</f>
        <v>0</v>
      </c>
      <c r="Q207" s="6">
        <f>IFERROR(__xludf.DUMMYFUNCTION("IF(REGEXMATCH(A207, ""^00-""), 0, IF(AND(NE(F207, """"), NE(G207, """")), 1, 0))"),1.0)</f>
        <v>1</v>
      </c>
      <c r="R207" s="6">
        <f t="shared" si="1"/>
        <v>1</v>
      </c>
    </row>
    <row r="208">
      <c r="A208" s="1" t="s">
        <v>32</v>
      </c>
      <c r="B208" s="1" t="s">
        <v>765</v>
      </c>
      <c r="C208" s="1">
        <v>527.0</v>
      </c>
      <c r="D208" s="1">
        <v>5.0</v>
      </c>
      <c r="E208" s="1">
        <v>532.0</v>
      </c>
      <c r="F208" s="7" t="s">
        <v>766</v>
      </c>
      <c r="G208" s="7" t="s">
        <v>767</v>
      </c>
      <c r="H208" s="1" t="s">
        <v>269</v>
      </c>
      <c r="I208" s="1" t="s">
        <v>172</v>
      </c>
      <c r="J208" s="1" t="s">
        <v>749</v>
      </c>
      <c r="K208" s="1" t="s">
        <v>184</v>
      </c>
      <c r="L208" s="1"/>
      <c r="M208" s="1" t="s">
        <v>768</v>
      </c>
      <c r="N208" s="6">
        <f>IFERROR(__xludf.DUMMYFUNCTION("IF(REGEXMATCH(A208, ""^00-""), 0, IF(AND(EQ(F208, """"), EQ(G208, """")), 1, 0))"),0.0)</f>
        <v>0</v>
      </c>
      <c r="O208" s="6">
        <f>IFERROR(__xludf.DUMMYFUNCTION("IF(REGEXMATCH(A208, ""^00-""), 0, IF(AND(NE(F208, """"), EQ(G208, """")), 1, 0))"),0.0)</f>
        <v>0</v>
      </c>
      <c r="P208" s="6">
        <f>IFERROR(__xludf.DUMMYFUNCTION("IF(REGEXMATCH(A208, ""^00-""), 0, IF(AND(EQ(F208, """"), NE(G208, """")), 1, 0))"),0.0)</f>
        <v>0</v>
      </c>
      <c r="Q208" s="6">
        <f>IFERROR(__xludf.DUMMYFUNCTION("IF(REGEXMATCH(A208, ""^00-""), 0, IF(AND(NE(F208, """"), NE(G208, """")), 1, 0))"),1.0)</f>
        <v>1</v>
      </c>
      <c r="R208" s="6">
        <f t="shared" si="1"/>
        <v>1</v>
      </c>
    </row>
    <row r="209">
      <c r="A209" s="1" t="s">
        <v>32</v>
      </c>
      <c r="B209" s="1" t="s">
        <v>769</v>
      </c>
      <c r="C209" s="1">
        <v>530.0</v>
      </c>
      <c r="D209" s="1">
        <v>2.0</v>
      </c>
      <c r="E209" s="1">
        <v>532.0</v>
      </c>
      <c r="F209" s="7" t="s">
        <v>770</v>
      </c>
      <c r="G209" s="7" t="s">
        <v>771</v>
      </c>
      <c r="H209" s="1" t="s">
        <v>269</v>
      </c>
      <c r="I209" s="1" t="s">
        <v>172</v>
      </c>
      <c r="J209" s="1" t="s">
        <v>749</v>
      </c>
      <c r="K209" s="1" t="s">
        <v>184</v>
      </c>
      <c r="L209" s="1"/>
      <c r="M209" s="1" t="s">
        <v>772</v>
      </c>
      <c r="N209" s="6">
        <f>IFERROR(__xludf.DUMMYFUNCTION("IF(REGEXMATCH(A209, ""^00-""), 0, IF(AND(EQ(F209, """"), EQ(G209, """")), 1, 0))"),0.0)</f>
        <v>0</v>
      </c>
      <c r="O209" s="6">
        <f>IFERROR(__xludf.DUMMYFUNCTION("IF(REGEXMATCH(A209, ""^00-""), 0, IF(AND(NE(F209, """"), EQ(G209, """")), 1, 0))"),0.0)</f>
        <v>0</v>
      </c>
      <c r="P209" s="6">
        <f>IFERROR(__xludf.DUMMYFUNCTION("IF(REGEXMATCH(A209, ""^00-""), 0, IF(AND(EQ(F209, """"), NE(G209, """")), 1, 0))"),0.0)</f>
        <v>0</v>
      </c>
      <c r="Q209" s="6">
        <f>IFERROR(__xludf.DUMMYFUNCTION("IF(REGEXMATCH(A209, ""^00-""), 0, IF(AND(NE(F209, """"), NE(G209, """")), 1, 0))"),1.0)</f>
        <v>1</v>
      </c>
      <c r="R209" s="6">
        <f t="shared" si="1"/>
        <v>1</v>
      </c>
    </row>
    <row r="210">
      <c r="A210" s="1" t="s">
        <v>32</v>
      </c>
      <c r="B210" s="1" t="s">
        <v>773</v>
      </c>
      <c r="C210" s="1">
        <v>525.0</v>
      </c>
      <c r="D210" s="1">
        <v>7.0</v>
      </c>
      <c r="E210" s="1">
        <v>532.0</v>
      </c>
      <c r="F210" s="7" t="s">
        <v>774</v>
      </c>
      <c r="G210" s="7" t="s">
        <v>775</v>
      </c>
      <c r="H210" s="1" t="s">
        <v>269</v>
      </c>
      <c r="I210" s="1" t="s">
        <v>172</v>
      </c>
      <c r="J210" s="1" t="s">
        <v>749</v>
      </c>
      <c r="K210" s="1" t="s">
        <v>184</v>
      </c>
      <c r="L210" s="1"/>
      <c r="M210" s="1" t="s">
        <v>776</v>
      </c>
      <c r="N210" s="6">
        <f>IFERROR(__xludf.DUMMYFUNCTION("IF(REGEXMATCH(A210, ""^00-""), 0, IF(AND(EQ(F210, """"), EQ(G210, """")), 1, 0))"),0.0)</f>
        <v>0</v>
      </c>
      <c r="O210" s="6">
        <f>IFERROR(__xludf.DUMMYFUNCTION("IF(REGEXMATCH(A210, ""^00-""), 0, IF(AND(NE(F210, """"), EQ(G210, """")), 1, 0))"),0.0)</f>
        <v>0</v>
      </c>
      <c r="P210" s="6">
        <f>IFERROR(__xludf.DUMMYFUNCTION("IF(REGEXMATCH(A210, ""^00-""), 0, IF(AND(EQ(F210, """"), NE(G210, """")), 1, 0))"),0.0)</f>
        <v>0</v>
      </c>
      <c r="Q210" s="6">
        <f>IFERROR(__xludf.DUMMYFUNCTION("IF(REGEXMATCH(A210, ""^00-""), 0, IF(AND(NE(F210, """"), NE(G210, """")), 1, 0))"),1.0)</f>
        <v>1</v>
      </c>
      <c r="R210" s="6">
        <f t="shared" si="1"/>
        <v>1</v>
      </c>
    </row>
    <row r="211">
      <c r="A211" s="1" t="s">
        <v>32</v>
      </c>
      <c r="B211" s="1" t="s">
        <v>777</v>
      </c>
      <c r="C211" s="1">
        <v>512.0</v>
      </c>
      <c r="D211" s="1">
        <v>20.0</v>
      </c>
      <c r="E211" s="1">
        <v>532.0</v>
      </c>
      <c r="F211" s="7" t="s">
        <v>778</v>
      </c>
      <c r="G211" s="7" t="s">
        <v>779</v>
      </c>
      <c r="H211" s="1" t="s">
        <v>269</v>
      </c>
      <c r="I211" s="1" t="s">
        <v>172</v>
      </c>
      <c r="J211" s="1" t="s">
        <v>749</v>
      </c>
      <c r="K211" s="1" t="s">
        <v>184</v>
      </c>
      <c r="L211" s="1"/>
      <c r="M211" s="1" t="s">
        <v>780</v>
      </c>
      <c r="N211" s="6">
        <f>IFERROR(__xludf.DUMMYFUNCTION("IF(REGEXMATCH(A211, ""^00-""), 0, IF(AND(EQ(F211, """"), EQ(G211, """")), 1, 0))"),0.0)</f>
        <v>0</v>
      </c>
      <c r="O211" s="6">
        <f>IFERROR(__xludf.DUMMYFUNCTION("IF(REGEXMATCH(A211, ""^00-""), 0, IF(AND(NE(F211, """"), EQ(G211, """")), 1, 0))"),0.0)</f>
        <v>0</v>
      </c>
      <c r="P211" s="6">
        <f>IFERROR(__xludf.DUMMYFUNCTION("IF(REGEXMATCH(A211, ""^00-""), 0, IF(AND(EQ(F211, """"), NE(G211, """")), 1, 0))"),0.0)</f>
        <v>0</v>
      </c>
      <c r="Q211" s="6">
        <f>IFERROR(__xludf.DUMMYFUNCTION("IF(REGEXMATCH(A211, ""^00-""), 0, IF(AND(NE(F211, """"), NE(G211, """")), 1, 0))"),1.0)</f>
        <v>1</v>
      </c>
      <c r="R211" s="6">
        <f t="shared" si="1"/>
        <v>1</v>
      </c>
    </row>
    <row r="212">
      <c r="A212" s="1" t="s">
        <v>32</v>
      </c>
      <c r="B212" s="1" t="s">
        <v>781</v>
      </c>
      <c r="C212" s="1">
        <v>515.0</v>
      </c>
      <c r="D212" s="1">
        <v>17.0</v>
      </c>
      <c r="E212" s="1">
        <v>532.0</v>
      </c>
      <c r="F212" s="7" t="s">
        <v>782</v>
      </c>
      <c r="G212" s="7" t="s">
        <v>783</v>
      </c>
      <c r="H212" s="1" t="s">
        <v>269</v>
      </c>
      <c r="I212" s="1" t="s">
        <v>172</v>
      </c>
      <c r="J212" s="1" t="s">
        <v>749</v>
      </c>
      <c r="K212" s="1" t="s">
        <v>184</v>
      </c>
      <c r="L212" s="1"/>
      <c r="M212" s="1" t="s">
        <v>784</v>
      </c>
      <c r="N212" s="6">
        <f>IFERROR(__xludf.DUMMYFUNCTION("IF(REGEXMATCH(A212, ""^00-""), 0, IF(AND(EQ(F212, """"), EQ(G212, """")), 1, 0))"),0.0)</f>
        <v>0</v>
      </c>
      <c r="O212" s="6">
        <f>IFERROR(__xludf.DUMMYFUNCTION("IF(REGEXMATCH(A212, ""^00-""), 0, IF(AND(NE(F212, """"), EQ(G212, """")), 1, 0))"),0.0)</f>
        <v>0</v>
      </c>
      <c r="P212" s="6">
        <f>IFERROR(__xludf.DUMMYFUNCTION("IF(REGEXMATCH(A212, ""^00-""), 0, IF(AND(EQ(F212, """"), NE(G212, """")), 1, 0))"),0.0)</f>
        <v>0</v>
      </c>
      <c r="Q212" s="6">
        <f>IFERROR(__xludf.DUMMYFUNCTION("IF(REGEXMATCH(A212, ""^00-""), 0, IF(AND(NE(F212, """"), NE(G212, """")), 1, 0))"),1.0)</f>
        <v>1</v>
      </c>
      <c r="R212" s="6">
        <f t="shared" si="1"/>
        <v>1</v>
      </c>
    </row>
    <row r="213">
      <c r="A213" s="1" t="s">
        <v>32</v>
      </c>
      <c r="B213" s="1" t="s">
        <v>785</v>
      </c>
      <c r="C213" s="1">
        <v>529.0</v>
      </c>
      <c r="D213" s="1">
        <v>3.0</v>
      </c>
      <c r="E213" s="1">
        <v>532.0</v>
      </c>
      <c r="F213" s="7" t="s">
        <v>786</v>
      </c>
      <c r="G213" s="7" t="s">
        <v>787</v>
      </c>
      <c r="H213" s="1" t="s">
        <v>269</v>
      </c>
      <c r="I213" s="1" t="s">
        <v>172</v>
      </c>
      <c r="J213" s="1" t="s">
        <v>749</v>
      </c>
      <c r="K213" s="1" t="s">
        <v>184</v>
      </c>
      <c r="L213" s="1"/>
      <c r="M213" s="1" t="s">
        <v>788</v>
      </c>
      <c r="N213" s="6">
        <f>IFERROR(__xludf.DUMMYFUNCTION("IF(REGEXMATCH(A213, ""^00-""), 0, IF(AND(EQ(F213, """"), EQ(G213, """")), 1, 0))"),0.0)</f>
        <v>0</v>
      </c>
      <c r="O213" s="6">
        <f>IFERROR(__xludf.DUMMYFUNCTION("IF(REGEXMATCH(A213, ""^00-""), 0, IF(AND(NE(F213, """"), EQ(G213, """")), 1, 0))"),0.0)</f>
        <v>0</v>
      </c>
      <c r="P213" s="6">
        <f>IFERROR(__xludf.DUMMYFUNCTION("IF(REGEXMATCH(A213, ""^00-""), 0, IF(AND(EQ(F213, """"), NE(G213, """")), 1, 0))"),0.0)</f>
        <v>0</v>
      </c>
      <c r="Q213" s="6">
        <f>IFERROR(__xludf.DUMMYFUNCTION("IF(REGEXMATCH(A213, ""^00-""), 0, IF(AND(NE(F213, """"), NE(G213, """")), 1, 0))"),1.0)</f>
        <v>1</v>
      </c>
      <c r="R213" s="6">
        <f t="shared" si="1"/>
        <v>1</v>
      </c>
    </row>
    <row r="214">
      <c r="A214" s="1" t="s">
        <v>32</v>
      </c>
      <c r="B214" s="1" t="s">
        <v>789</v>
      </c>
      <c r="C214" s="1">
        <v>529.0</v>
      </c>
      <c r="D214" s="1">
        <v>3.0</v>
      </c>
      <c r="E214" s="1">
        <v>532.0</v>
      </c>
      <c r="F214" s="7" t="s">
        <v>790</v>
      </c>
      <c r="G214" s="7" t="s">
        <v>791</v>
      </c>
      <c r="H214" s="1" t="s">
        <v>269</v>
      </c>
      <c r="I214" s="1" t="s">
        <v>172</v>
      </c>
      <c r="J214" s="1" t="s">
        <v>749</v>
      </c>
      <c r="K214" s="1" t="s">
        <v>184</v>
      </c>
      <c r="L214" s="1"/>
      <c r="M214" s="1" t="s">
        <v>792</v>
      </c>
      <c r="N214" s="6">
        <f>IFERROR(__xludf.DUMMYFUNCTION("IF(REGEXMATCH(A214, ""^00-""), 0, IF(AND(EQ(F214, """"), EQ(G214, """")), 1, 0))"),0.0)</f>
        <v>0</v>
      </c>
      <c r="O214" s="6">
        <f>IFERROR(__xludf.DUMMYFUNCTION("IF(REGEXMATCH(A214, ""^00-""), 0, IF(AND(NE(F214, """"), EQ(G214, """")), 1, 0))"),0.0)</f>
        <v>0</v>
      </c>
      <c r="P214" s="6">
        <f>IFERROR(__xludf.DUMMYFUNCTION("IF(REGEXMATCH(A214, ""^00-""), 0, IF(AND(EQ(F214, """"), NE(G214, """")), 1, 0))"),0.0)</f>
        <v>0</v>
      </c>
      <c r="Q214" s="6">
        <f>IFERROR(__xludf.DUMMYFUNCTION("IF(REGEXMATCH(A214, ""^00-""), 0, IF(AND(NE(F214, """"), NE(G214, """")), 1, 0))"),1.0)</f>
        <v>1</v>
      </c>
      <c r="R214" s="6">
        <f t="shared" si="1"/>
        <v>1</v>
      </c>
    </row>
    <row r="215">
      <c r="A215" s="1" t="s">
        <v>32</v>
      </c>
      <c r="B215" s="1" t="s">
        <v>793</v>
      </c>
      <c r="C215" s="1">
        <v>527.0</v>
      </c>
      <c r="D215" s="1">
        <v>5.0</v>
      </c>
      <c r="E215" s="1">
        <v>532.0</v>
      </c>
      <c r="F215" s="7" t="s">
        <v>794</v>
      </c>
      <c r="G215" s="7" t="s">
        <v>795</v>
      </c>
      <c r="H215" s="1" t="s">
        <v>250</v>
      </c>
      <c r="I215" s="1" t="s">
        <v>172</v>
      </c>
      <c r="J215" s="1" t="s">
        <v>749</v>
      </c>
      <c r="K215" s="1" t="s">
        <v>184</v>
      </c>
      <c r="L215" s="1"/>
      <c r="M215" s="1" t="s">
        <v>250</v>
      </c>
      <c r="N215" s="6">
        <f>IFERROR(__xludf.DUMMYFUNCTION("IF(REGEXMATCH(A215, ""^00-""), 0, IF(AND(EQ(F215, """"), EQ(G215, """")), 1, 0))"),0.0)</f>
        <v>0</v>
      </c>
      <c r="O215" s="6">
        <f>IFERROR(__xludf.DUMMYFUNCTION("IF(REGEXMATCH(A215, ""^00-""), 0, IF(AND(NE(F215, """"), EQ(G215, """")), 1, 0))"),0.0)</f>
        <v>0</v>
      </c>
      <c r="P215" s="6">
        <f>IFERROR(__xludf.DUMMYFUNCTION("IF(REGEXMATCH(A215, ""^00-""), 0, IF(AND(EQ(F215, """"), NE(G215, """")), 1, 0))"),0.0)</f>
        <v>0</v>
      </c>
      <c r="Q215" s="6">
        <f>IFERROR(__xludf.DUMMYFUNCTION("IF(REGEXMATCH(A215, ""^00-""), 0, IF(AND(NE(F215, """"), NE(G215, """")), 1, 0))"),1.0)</f>
        <v>1</v>
      </c>
      <c r="R215" s="6">
        <f t="shared" si="1"/>
        <v>1</v>
      </c>
    </row>
    <row r="216">
      <c r="A216" s="1" t="s">
        <v>32</v>
      </c>
      <c r="B216" s="1" t="s">
        <v>796</v>
      </c>
      <c r="C216" s="1">
        <v>525.0</v>
      </c>
      <c r="D216" s="1">
        <v>7.0</v>
      </c>
      <c r="E216" s="1">
        <v>532.0</v>
      </c>
      <c r="F216" s="7" t="s">
        <v>797</v>
      </c>
      <c r="G216" s="7" t="s">
        <v>798</v>
      </c>
      <c r="H216" s="1" t="s">
        <v>254</v>
      </c>
      <c r="I216" s="1" t="s">
        <v>172</v>
      </c>
      <c r="J216" s="1" t="s">
        <v>749</v>
      </c>
      <c r="K216" s="1" t="s">
        <v>184</v>
      </c>
      <c r="L216" s="1"/>
      <c r="M216" s="1" t="s">
        <v>254</v>
      </c>
      <c r="N216" s="6">
        <f>IFERROR(__xludf.DUMMYFUNCTION("IF(REGEXMATCH(A216, ""^00-""), 0, IF(AND(EQ(F216, """"), EQ(G216, """")), 1, 0))"),0.0)</f>
        <v>0</v>
      </c>
      <c r="O216" s="6">
        <f>IFERROR(__xludf.DUMMYFUNCTION("IF(REGEXMATCH(A216, ""^00-""), 0, IF(AND(NE(F216, """"), EQ(G216, """")), 1, 0))"),0.0)</f>
        <v>0</v>
      </c>
      <c r="P216" s="6">
        <f>IFERROR(__xludf.DUMMYFUNCTION("IF(REGEXMATCH(A216, ""^00-""), 0, IF(AND(EQ(F216, """"), NE(G216, """")), 1, 0))"),0.0)</f>
        <v>0</v>
      </c>
      <c r="Q216" s="6">
        <f>IFERROR(__xludf.DUMMYFUNCTION("IF(REGEXMATCH(A216, ""^00-""), 0, IF(AND(NE(F216, """"), NE(G216, """")), 1, 0))"),1.0)</f>
        <v>1</v>
      </c>
      <c r="R216" s="6">
        <f t="shared" si="1"/>
        <v>1</v>
      </c>
    </row>
    <row r="217">
      <c r="A217" s="1" t="s">
        <v>32</v>
      </c>
      <c r="B217" s="1" t="s">
        <v>799</v>
      </c>
      <c r="C217" s="1">
        <v>530.0</v>
      </c>
      <c r="D217" s="1">
        <v>2.0</v>
      </c>
      <c r="E217" s="1">
        <v>532.0</v>
      </c>
      <c r="F217" s="7" t="s">
        <v>800</v>
      </c>
      <c r="G217" s="7" t="s">
        <v>801</v>
      </c>
      <c r="H217" s="1" t="s">
        <v>190</v>
      </c>
      <c r="I217" s="1" t="s">
        <v>172</v>
      </c>
      <c r="J217" s="1" t="s">
        <v>749</v>
      </c>
      <c r="K217" s="1" t="s">
        <v>184</v>
      </c>
      <c r="L217" s="1"/>
      <c r="M217" s="1" t="s">
        <v>191</v>
      </c>
      <c r="N217" s="6">
        <f>IFERROR(__xludf.DUMMYFUNCTION("IF(REGEXMATCH(A217, ""^00-""), 0, IF(AND(EQ(F217, """"), EQ(G217, """")), 1, 0))"),0.0)</f>
        <v>0</v>
      </c>
      <c r="O217" s="6">
        <f>IFERROR(__xludf.DUMMYFUNCTION("IF(REGEXMATCH(A217, ""^00-""), 0, IF(AND(NE(F217, """"), EQ(G217, """")), 1, 0))"),0.0)</f>
        <v>0</v>
      </c>
      <c r="P217" s="6">
        <f>IFERROR(__xludf.DUMMYFUNCTION("IF(REGEXMATCH(A217, ""^00-""), 0, IF(AND(EQ(F217, """"), NE(G217, """")), 1, 0))"),0.0)</f>
        <v>0</v>
      </c>
      <c r="Q217" s="6">
        <f>IFERROR(__xludf.DUMMYFUNCTION("IF(REGEXMATCH(A217, ""^00-""), 0, IF(AND(NE(F217, """"), NE(G217, """")), 1, 0))"),1.0)</f>
        <v>1</v>
      </c>
      <c r="R217" s="6">
        <f t="shared" si="1"/>
        <v>1</v>
      </c>
    </row>
    <row r="218">
      <c r="A218" s="1" t="s">
        <v>32</v>
      </c>
      <c r="B218" s="1" t="s">
        <v>802</v>
      </c>
      <c r="C218" s="1">
        <v>532.0</v>
      </c>
      <c r="D218" s="1">
        <v>0.0</v>
      </c>
      <c r="E218" s="1">
        <v>532.0</v>
      </c>
      <c r="F218" s="7" t="s">
        <v>803</v>
      </c>
      <c r="G218" s="7" t="s">
        <v>804</v>
      </c>
      <c r="H218" s="1" t="s">
        <v>190</v>
      </c>
      <c r="I218" s="1" t="s">
        <v>172</v>
      </c>
      <c r="J218" s="1" t="s">
        <v>749</v>
      </c>
      <c r="K218" s="1" t="s">
        <v>184</v>
      </c>
      <c r="L218" s="1"/>
      <c r="M218" s="1" t="s">
        <v>191</v>
      </c>
      <c r="N218" s="6">
        <f>IFERROR(__xludf.DUMMYFUNCTION("IF(REGEXMATCH(A218, ""^00-""), 0, IF(AND(EQ(F218, """"), EQ(G218, """")), 1, 0))"),0.0)</f>
        <v>0</v>
      </c>
      <c r="O218" s="6">
        <f>IFERROR(__xludf.DUMMYFUNCTION("IF(REGEXMATCH(A218, ""^00-""), 0, IF(AND(NE(F218, """"), EQ(G218, """")), 1, 0))"),0.0)</f>
        <v>0</v>
      </c>
      <c r="P218" s="6">
        <f>IFERROR(__xludf.DUMMYFUNCTION("IF(REGEXMATCH(A218, ""^00-""), 0, IF(AND(EQ(F218, """"), NE(G218, """")), 1, 0))"),0.0)</f>
        <v>0</v>
      </c>
      <c r="Q218" s="6">
        <f>IFERROR(__xludf.DUMMYFUNCTION("IF(REGEXMATCH(A218, ""^00-""), 0, IF(AND(NE(F218, """"), NE(G218, """")), 1, 0))"),1.0)</f>
        <v>1</v>
      </c>
      <c r="R218" s="6">
        <f t="shared" si="1"/>
        <v>1</v>
      </c>
    </row>
    <row r="219">
      <c r="A219" s="1" t="s">
        <v>34</v>
      </c>
      <c r="B219" s="1" t="s">
        <v>805</v>
      </c>
      <c r="C219" s="1">
        <v>530.0</v>
      </c>
      <c r="D219" s="1">
        <v>2.0</v>
      </c>
      <c r="E219" s="1">
        <v>532.0</v>
      </c>
      <c r="F219" s="7"/>
      <c r="G219" s="7"/>
      <c r="H219" s="1" t="s">
        <v>182</v>
      </c>
      <c r="I219" s="1" t="s">
        <v>172</v>
      </c>
      <c r="J219" s="1" t="s">
        <v>749</v>
      </c>
      <c r="K219" s="1" t="s">
        <v>184</v>
      </c>
      <c r="L219" s="1"/>
      <c r="M219" s="1" t="s">
        <v>185</v>
      </c>
      <c r="N219" s="6">
        <f>IFERROR(__xludf.DUMMYFUNCTION("IF(REGEXMATCH(A219, ""^00-""), 0, IF(AND(EQ(F219, """"), EQ(G219, """")), 1, 0))"),1.0)</f>
        <v>1</v>
      </c>
      <c r="O219" s="6">
        <f>IFERROR(__xludf.DUMMYFUNCTION("IF(REGEXMATCH(A219, ""^00-""), 0, IF(AND(NE(F219, """"), EQ(G219, """")), 1, 0))"),0.0)</f>
        <v>0</v>
      </c>
      <c r="P219" s="6">
        <f>IFERROR(__xludf.DUMMYFUNCTION("IF(REGEXMATCH(A219, ""^00-""), 0, IF(AND(EQ(F219, """"), NE(G219, """")), 1, 0))"),0.0)</f>
        <v>0</v>
      </c>
      <c r="Q219" s="6">
        <f>IFERROR(__xludf.DUMMYFUNCTION("IF(REGEXMATCH(A219, ""^00-""), 0, IF(AND(NE(F219, """"), NE(G219, """")), 1, 0))"),0.0)</f>
        <v>0</v>
      </c>
      <c r="R219" s="6">
        <f t="shared" si="1"/>
        <v>1</v>
      </c>
    </row>
    <row r="220">
      <c r="A220" s="1" t="s">
        <v>34</v>
      </c>
      <c r="B220" s="1" t="s">
        <v>806</v>
      </c>
      <c r="C220" s="1">
        <v>530.0</v>
      </c>
      <c r="D220" s="1">
        <v>2.0</v>
      </c>
      <c r="E220" s="1">
        <v>532.0</v>
      </c>
      <c r="F220" s="7"/>
      <c r="G220" s="7"/>
      <c r="H220" s="1" t="s">
        <v>182</v>
      </c>
      <c r="I220" s="1" t="s">
        <v>172</v>
      </c>
      <c r="J220" s="1" t="s">
        <v>749</v>
      </c>
      <c r="K220" s="1" t="s">
        <v>184</v>
      </c>
      <c r="L220" s="1"/>
      <c r="M220" s="1" t="s">
        <v>185</v>
      </c>
      <c r="N220" s="6">
        <f>IFERROR(__xludf.DUMMYFUNCTION("IF(REGEXMATCH(A220, ""^00-""), 0, IF(AND(EQ(F220, """"), EQ(G220, """")), 1, 0))"),1.0)</f>
        <v>1</v>
      </c>
      <c r="O220" s="6">
        <f>IFERROR(__xludf.DUMMYFUNCTION("IF(REGEXMATCH(A220, ""^00-""), 0, IF(AND(NE(F220, """"), EQ(G220, """")), 1, 0))"),0.0)</f>
        <v>0</v>
      </c>
      <c r="P220" s="6">
        <f>IFERROR(__xludf.DUMMYFUNCTION("IF(REGEXMATCH(A220, ""^00-""), 0, IF(AND(EQ(F220, """"), NE(G220, """")), 1, 0))"),0.0)</f>
        <v>0</v>
      </c>
      <c r="Q220" s="6">
        <f>IFERROR(__xludf.DUMMYFUNCTION("IF(REGEXMATCH(A220, ""^00-""), 0, IF(AND(NE(F220, """"), NE(G220, """")), 1, 0))"),0.0)</f>
        <v>0</v>
      </c>
      <c r="R220" s="6">
        <f t="shared" si="1"/>
        <v>1</v>
      </c>
    </row>
    <row r="221">
      <c r="A221" s="1" t="s">
        <v>34</v>
      </c>
      <c r="B221" s="1" t="s">
        <v>807</v>
      </c>
      <c r="C221" s="1">
        <v>530.0</v>
      </c>
      <c r="D221" s="1">
        <v>2.0</v>
      </c>
      <c r="E221" s="1">
        <v>532.0</v>
      </c>
      <c r="F221" s="7"/>
      <c r="G221" s="7"/>
      <c r="H221" s="1" t="s">
        <v>182</v>
      </c>
      <c r="I221" s="1" t="s">
        <v>172</v>
      </c>
      <c r="J221" s="1" t="s">
        <v>749</v>
      </c>
      <c r="K221" s="1" t="s">
        <v>184</v>
      </c>
      <c r="L221" s="1"/>
      <c r="M221" s="1" t="s">
        <v>185</v>
      </c>
      <c r="N221" s="6">
        <f>IFERROR(__xludf.DUMMYFUNCTION("IF(REGEXMATCH(A221, ""^00-""), 0, IF(AND(EQ(F221, """"), EQ(G221, """")), 1, 0))"),1.0)</f>
        <v>1</v>
      </c>
      <c r="O221" s="6">
        <f>IFERROR(__xludf.DUMMYFUNCTION("IF(REGEXMATCH(A221, ""^00-""), 0, IF(AND(NE(F221, """"), EQ(G221, """")), 1, 0))"),0.0)</f>
        <v>0</v>
      </c>
      <c r="P221" s="6">
        <f>IFERROR(__xludf.DUMMYFUNCTION("IF(REGEXMATCH(A221, ""^00-""), 0, IF(AND(EQ(F221, """"), NE(G221, """")), 1, 0))"),0.0)</f>
        <v>0</v>
      </c>
      <c r="Q221" s="6">
        <f>IFERROR(__xludf.DUMMYFUNCTION("IF(REGEXMATCH(A221, ""^00-""), 0, IF(AND(NE(F221, """"), NE(G221, """")), 1, 0))"),0.0)</f>
        <v>0</v>
      </c>
      <c r="R221" s="6">
        <f t="shared" si="1"/>
        <v>1</v>
      </c>
    </row>
    <row r="222">
      <c r="A222" s="1" t="s">
        <v>36</v>
      </c>
      <c r="B222" s="1" t="s">
        <v>808</v>
      </c>
      <c r="C222" s="1">
        <v>24439.0</v>
      </c>
      <c r="D222" s="1">
        <v>0.0</v>
      </c>
      <c r="E222" s="1">
        <v>24439.0</v>
      </c>
      <c r="F222" s="7" t="s">
        <v>809</v>
      </c>
      <c r="G222" s="7" t="s">
        <v>810</v>
      </c>
      <c r="H222" s="1" t="s">
        <v>182</v>
      </c>
      <c r="I222" s="1" t="s">
        <v>172</v>
      </c>
      <c r="J222" s="1" t="s">
        <v>575</v>
      </c>
      <c r="K222" s="1" t="s">
        <v>811</v>
      </c>
      <c r="L222" s="1"/>
      <c r="M222" s="1" t="s">
        <v>185</v>
      </c>
      <c r="N222" s="6">
        <f>IFERROR(__xludf.DUMMYFUNCTION("IF(REGEXMATCH(A222, ""^00-""), 0, IF(AND(EQ(F222, """"), EQ(G222, """")), 1, 0))"),0.0)</f>
        <v>0</v>
      </c>
      <c r="O222" s="6">
        <f>IFERROR(__xludf.DUMMYFUNCTION("IF(REGEXMATCH(A222, ""^00-""), 0, IF(AND(NE(F222, """"), EQ(G222, """")), 1, 0))"),0.0)</f>
        <v>0</v>
      </c>
      <c r="P222" s="6">
        <f>IFERROR(__xludf.DUMMYFUNCTION("IF(REGEXMATCH(A222, ""^00-""), 0, IF(AND(EQ(F222, """"), NE(G222, """")), 1, 0))"),0.0)</f>
        <v>0</v>
      </c>
      <c r="Q222" s="6">
        <f>IFERROR(__xludf.DUMMYFUNCTION("IF(REGEXMATCH(A222, ""^00-""), 0, IF(AND(NE(F222, """"), NE(G222, """")), 1, 0))"),1.0)</f>
        <v>1</v>
      </c>
      <c r="R222" s="6">
        <f t="shared" si="1"/>
        <v>1</v>
      </c>
    </row>
    <row r="223">
      <c r="A223" s="1" t="s">
        <v>36</v>
      </c>
      <c r="B223" s="1" t="s">
        <v>812</v>
      </c>
      <c r="C223" s="1">
        <v>0.0</v>
      </c>
      <c r="D223" s="1">
        <v>24439.0</v>
      </c>
      <c r="E223" s="1">
        <v>24439.0</v>
      </c>
      <c r="F223" s="7"/>
      <c r="G223" s="7" t="s">
        <v>813</v>
      </c>
      <c r="H223" s="1" t="s">
        <v>190</v>
      </c>
      <c r="I223" s="1" t="s">
        <v>172</v>
      </c>
      <c r="J223" s="1" t="s">
        <v>575</v>
      </c>
      <c r="K223" s="1" t="s">
        <v>811</v>
      </c>
      <c r="L223" s="1"/>
      <c r="M223" s="1" t="s">
        <v>191</v>
      </c>
      <c r="N223" s="6">
        <f>IFERROR(__xludf.DUMMYFUNCTION("IF(REGEXMATCH(A223, ""^00-""), 0, IF(AND(EQ(F223, """"), EQ(G223, """")), 1, 0))"),0.0)</f>
        <v>0</v>
      </c>
      <c r="O223" s="6">
        <f>IFERROR(__xludf.DUMMYFUNCTION("IF(REGEXMATCH(A223, ""^00-""), 0, IF(AND(NE(F223, """"), EQ(G223, """")), 1, 0))"),0.0)</f>
        <v>0</v>
      </c>
      <c r="P223" s="6">
        <f>IFERROR(__xludf.DUMMYFUNCTION("IF(REGEXMATCH(A223, ""^00-""), 0, IF(AND(EQ(F223, """"), NE(G223, """")), 1, 0))"),1.0)</f>
        <v>1</v>
      </c>
      <c r="Q223" s="6">
        <f>IFERROR(__xludf.DUMMYFUNCTION("IF(REGEXMATCH(A223, ""^00-""), 0, IF(AND(NE(F223, """"), NE(G223, """")), 1, 0))"),0.0)</f>
        <v>0</v>
      </c>
      <c r="R223" s="6">
        <f t="shared" si="1"/>
        <v>1</v>
      </c>
    </row>
    <row r="224">
      <c r="A224" s="1" t="s">
        <v>36</v>
      </c>
      <c r="B224" s="1" t="s">
        <v>814</v>
      </c>
      <c r="C224" s="1">
        <v>24363.0</v>
      </c>
      <c r="D224" s="1">
        <v>76.0</v>
      </c>
      <c r="E224" s="1">
        <v>24439.0</v>
      </c>
      <c r="F224" s="7" t="s">
        <v>596</v>
      </c>
      <c r="G224" s="7" t="s">
        <v>815</v>
      </c>
      <c r="H224" s="1" t="s">
        <v>250</v>
      </c>
      <c r="I224" s="1" t="s">
        <v>172</v>
      </c>
      <c r="J224" s="1" t="s">
        <v>575</v>
      </c>
      <c r="K224" s="1" t="s">
        <v>811</v>
      </c>
      <c r="L224" s="1"/>
      <c r="M224" s="1" t="s">
        <v>250</v>
      </c>
      <c r="N224" s="6">
        <f>IFERROR(__xludf.DUMMYFUNCTION("IF(REGEXMATCH(A224, ""^00-""), 0, IF(AND(EQ(F224, """"), EQ(G224, """")), 1, 0))"),0.0)</f>
        <v>0</v>
      </c>
      <c r="O224" s="6">
        <f>IFERROR(__xludf.DUMMYFUNCTION("IF(REGEXMATCH(A224, ""^00-""), 0, IF(AND(NE(F224, """"), EQ(G224, """")), 1, 0))"),0.0)</f>
        <v>0</v>
      </c>
      <c r="P224" s="6">
        <f>IFERROR(__xludf.DUMMYFUNCTION("IF(REGEXMATCH(A224, ""^00-""), 0, IF(AND(EQ(F224, """"), NE(G224, """")), 1, 0))"),0.0)</f>
        <v>0</v>
      </c>
      <c r="Q224" s="6">
        <f>IFERROR(__xludf.DUMMYFUNCTION("IF(REGEXMATCH(A224, ""^00-""), 0, IF(AND(NE(F224, """"), NE(G224, """")), 1, 0))"),1.0)</f>
        <v>1</v>
      </c>
      <c r="R224" s="6">
        <f t="shared" si="1"/>
        <v>1</v>
      </c>
    </row>
    <row r="225">
      <c r="A225" s="1" t="s">
        <v>36</v>
      </c>
      <c r="B225" s="1" t="s">
        <v>816</v>
      </c>
      <c r="C225" s="1">
        <v>24295.0</v>
      </c>
      <c r="D225" s="1">
        <v>144.0</v>
      </c>
      <c r="E225" s="1">
        <v>24439.0</v>
      </c>
      <c r="F225" s="7" t="s">
        <v>599</v>
      </c>
      <c r="G225" s="7" t="s">
        <v>817</v>
      </c>
      <c r="H225" s="1" t="s">
        <v>254</v>
      </c>
      <c r="I225" s="1" t="s">
        <v>172</v>
      </c>
      <c r="J225" s="1" t="s">
        <v>575</v>
      </c>
      <c r="K225" s="1" t="s">
        <v>811</v>
      </c>
      <c r="L225" s="1"/>
      <c r="M225" s="1" t="s">
        <v>254</v>
      </c>
      <c r="N225" s="6">
        <f>IFERROR(__xludf.DUMMYFUNCTION("IF(REGEXMATCH(A225, ""^00-""), 0, IF(AND(EQ(F225, """"), EQ(G225, """")), 1, 0))"),0.0)</f>
        <v>0</v>
      </c>
      <c r="O225" s="6">
        <f>IFERROR(__xludf.DUMMYFUNCTION("IF(REGEXMATCH(A225, ""^00-""), 0, IF(AND(NE(F225, """"), EQ(G225, """")), 1, 0))"),0.0)</f>
        <v>0</v>
      </c>
      <c r="P225" s="6">
        <f>IFERROR(__xludf.DUMMYFUNCTION("IF(REGEXMATCH(A225, ""^00-""), 0, IF(AND(EQ(F225, """"), NE(G225, """")), 1, 0))"),0.0)</f>
        <v>0</v>
      </c>
      <c r="Q225" s="6">
        <f>IFERROR(__xludf.DUMMYFUNCTION("IF(REGEXMATCH(A225, ""^00-""), 0, IF(AND(NE(F225, """"), NE(G225, """")), 1, 0))"),1.0)</f>
        <v>1</v>
      </c>
      <c r="R225" s="6">
        <f t="shared" si="1"/>
        <v>1</v>
      </c>
    </row>
    <row r="226">
      <c r="A226" s="1" t="s">
        <v>36</v>
      </c>
      <c r="B226" s="1" t="s">
        <v>818</v>
      </c>
      <c r="C226" s="1">
        <v>22920.0</v>
      </c>
      <c r="D226" s="1">
        <v>1519.0</v>
      </c>
      <c r="E226" s="1">
        <v>24439.0</v>
      </c>
      <c r="F226" s="7" t="s">
        <v>602</v>
      </c>
      <c r="G226" s="7" t="s">
        <v>819</v>
      </c>
      <c r="H226" s="1" t="s">
        <v>182</v>
      </c>
      <c r="I226" s="1" t="s">
        <v>172</v>
      </c>
      <c r="J226" s="1" t="s">
        <v>575</v>
      </c>
      <c r="K226" s="1" t="s">
        <v>811</v>
      </c>
      <c r="L226" s="1"/>
      <c r="M226" s="1" t="s">
        <v>257</v>
      </c>
      <c r="N226" s="6">
        <f>IFERROR(__xludf.DUMMYFUNCTION("IF(REGEXMATCH(A226, ""^00-""), 0, IF(AND(EQ(F226, """"), EQ(G226, """")), 1, 0))"),0.0)</f>
        <v>0</v>
      </c>
      <c r="O226" s="6">
        <f>IFERROR(__xludf.DUMMYFUNCTION("IF(REGEXMATCH(A226, ""^00-""), 0, IF(AND(NE(F226, """"), EQ(G226, """")), 1, 0))"),0.0)</f>
        <v>0</v>
      </c>
      <c r="P226" s="6">
        <f>IFERROR(__xludf.DUMMYFUNCTION("IF(REGEXMATCH(A226, ""^00-""), 0, IF(AND(EQ(F226, """"), NE(G226, """")), 1, 0))"),0.0)</f>
        <v>0</v>
      </c>
      <c r="Q226" s="6">
        <f>IFERROR(__xludf.DUMMYFUNCTION("IF(REGEXMATCH(A226, ""^00-""), 0, IF(AND(NE(F226, """"), NE(G226, """")), 1, 0))"),1.0)</f>
        <v>1</v>
      </c>
      <c r="R226" s="6">
        <f t="shared" si="1"/>
        <v>1</v>
      </c>
    </row>
    <row r="227">
      <c r="A227" s="1" t="s">
        <v>36</v>
      </c>
      <c r="B227" s="1" t="s">
        <v>820</v>
      </c>
      <c r="C227" s="1">
        <v>4819.0</v>
      </c>
      <c r="D227" s="1">
        <v>19620.0</v>
      </c>
      <c r="E227" s="1">
        <v>24439.0</v>
      </c>
      <c r="F227" s="7" t="s">
        <v>605</v>
      </c>
      <c r="G227" s="7" t="s">
        <v>821</v>
      </c>
      <c r="H227" s="1" t="s">
        <v>182</v>
      </c>
      <c r="I227" s="1" t="s">
        <v>172</v>
      </c>
      <c r="J227" s="1" t="s">
        <v>575</v>
      </c>
      <c r="K227" s="1" t="s">
        <v>811</v>
      </c>
      <c r="L227" s="1"/>
      <c r="M227" s="1" t="s">
        <v>257</v>
      </c>
      <c r="N227" s="6">
        <f>IFERROR(__xludf.DUMMYFUNCTION("IF(REGEXMATCH(A227, ""^00-""), 0, IF(AND(EQ(F227, """"), EQ(G227, """")), 1, 0))"),0.0)</f>
        <v>0</v>
      </c>
      <c r="O227" s="6">
        <f>IFERROR(__xludf.DUMMYFUNCTION("IF(REGEXMATCH(A227, ""^00-""), 0, IF(AND(NE(F227, """"), EQ(G227, """")), 1, 0))"),0.0)</f>
        <v>0</v>
      </c>
      <c r="P227" s="6">
        <f>IFERROR(__xludf.DUMMYFUNCTION("IF(REGEXMATCH(A227, ""^00-""), 0, IF(AND(EQ(F227, """"), NE(G227, """")), 1, 0))"),0.0)</f>
        <v>0</v>
      </c>
      <c r="Q227" s="6">
        <f>IFERROR(__xludf.DUMMYFUNCTION("IF(REGEXMATCH(A227, ""^00-""), 0, IF(AND(NE(F227, """"), NE(G227, """")), 1, 0))"),1.0)</f>
        <v>1</v>
      </c>
      <c r="R227" s="6">
        <f t="shared" si="1"/>
        <v>1</v>
      </c>
    </row>
    <row r="228">
      <c r="A228" s="1" t="s">
        <v>36</v>
      </c>
      <c r="B228" s="1" t="s">
        <v>822</v>
      </c>
      <c r="C228" s="1">
        <v>23537.0</v>
      </c>
      <c r="D228" s="1">
        <v>902.0</v>
      </c>
      <c r="E228" s="1">
        <v>24439.0</v>
      </c>
      <c r="F228" s="7" t="s">
        <v>608</v>
      </c>
      <c r="G228" s="7" t="s">
        <v>823</v>
      </c>
      <c r="H228" s="1" t="s">
        <v>182</v>
      </c>
      <c r="I228" s="1" t="s">
        <v>172</v>
      </c>
      <c r="J228" s="1" t="s">
        <v>575</v>
      </c>
      <c r="K228" s="1" t="s">
        <v>811</v>
      </c>
      <c r="L228" s="1"/>
      <c r="M228" s="1" t="s">
        <v>257</v>
      </c>
      <c r="N228" s="6">
        <f>IFERROR(__xludf.DUMMYFUNCTION("IF(REGEXMATCH(A228, ""^00-""), 0, IF(AND(EQ(F228, """"), EQ(G228, """")), 1, 0))"),0.0)</f>
        <v>0</v>
      </c>
      <c r="O228" s="6">
        <f>IFERROR(__xludf.DUMMYFUNCTION("IF(REGEXMATCH(A228, ""^00-""), 0, IF(AND(NE(F228, """"), EQ(G228, """")), 1, 0))"),0.0)</f>
        <v>0</v>
      </c>
      <c r="P228" s="6">
        <f>IFERROR(__xludf.DUMMYFUNCTION("IF(REGEXMATCH(A228, ""^00-""), 0, IF(AND(EQ(F228, """"), NE(G228, """")), 1, 0))"),0.0)</f>
        <v>0</v>
      </c>
      <c r="Q228" s="6">
        <f>IFERROR(__xludf.DUMMYFUNCTION("IF(REGEXMATCH(A228, ""^00-""), 0, IF(AND(NE(F228, """"), NE(G228, """")), 1, 0))"),1.0)</f>
        <v>1</v>
      </c>
      <c r="R228" s="6">
        <f t="shared" si="1"/>
        <v>1</v>
      </c>
    </row>
    <row r="229">
      <c r="A229" s="1" t="s">
        <v>36</v>
      </c>
      <c r="B229" s="1" t="s">
        <v>824</v>
      </c>
      <c r="C229" s="1">
        <v>20739.0</v>
      </c>
      <c r="D229" s="1">
        <v>3700.0</v>
      </c>
      <c r="E229" s="1">
        <v>24439.0</v>
      </c>
      <c r="F229" s="7" t="s">
        <v>825</v>
      </c>
      <c r="G229" s="7" t="s">
        <v>826</v>
      </c>
      <c r="H229" s="1" t="s">
        <v>182</v>
      </c>
      <c r="I229" s="1" t="s">
        <v>172</v>
      </c>
      <c r="J229" s="1" t="s">
        <v>575</v>
      </c>
      <c r="K229" s="1" t="s">
        <v>811</v>
      </c>
      <c r="L229" s="1"/>
      <c r="M229" s="1" t="s">
        <v>257</v>
      </c>
      <c r="N229" s="6">
        <f>IFERROR(__xludf.DUMMYFUNCTION("IF(REGEXMATCH(A229, ""^00-""), 0, IF(AND(EQ(F229, """"), EQ(G229, """")), 1, 0))"),0.0)</f>
        <v>0</v>
      </c>
      <c r="O229" s="6">
        <f>IFERROR(__xludf.DUMMYFUNCTION("IF(REGEXMATCH(A229, ""^00-""), 0, IF(AND(NE(F229, """"), EQ(G229, """")), 1, 0))"),0.0)</f>
        <v>0</v>
      </c>
      <c r="P229" s="6">
        <f>IFERROR(__xludf.DUMMYFUNCTION("IF(REGEXMATCH(A229, ""^00-""), 0, IF(AND(EQ(F229, """"), NE(G229, """")), 1, 0))"),0.0)</f>
        <v>0</v>
      </c>
      <c r="Q229" s="6">
        <f>IFERROR(__xludf.DUMMYFUNCTION("IF(REGEXMATCH(A229, ""^00-""), 0, IF(AND(NE(F229, """"), NE(G229, """")), 1, 0))"),1.0)</f>
        <v>1</v>
      </c>
      <c r="R229" s="6">
        <f t="shared" si="1"/>
        <v>1</v>
      </c>
    </row>
    <row r="230">
      <c r="A230" s="1" t="s">
        <v>36</v>
      </c>
      <c r="B230" s="1" t="s">
        <v>827</v>
      </c>
      <c r="C230" s="1">
        <v>22636.0</v>
      </c>
      <c r="D230" s="1">
        <v>1803.0</v>
      </c>
      <c r="E230" s="1">
        <v>24439.0</v>
      </c>
      <c r="F230" s="7" t="s">
        <v>611</v>
      </c>
      <c r="G230" s="7" t="s">
        <v>828</v>
      </c>
      <c r="H230" s="1" t="s">
        <v>182</v>
      </c>
      <c r="I230" s="1" t="s">
        <v>172</v>
      </c>
      <c r="J230" s="1" t="s">
        <v>575</v>
      </c>
      <c r="K230" s="1" t="s">
        <v>811</v>
      </c>
      <c r="L230" s="1"/>
      <c r="M230" s="1" t="s">
        <v>257</v>
      </c>
      <c r="N230" s="6">
        <f>IFERROR(__xludf.DUMMYFUNCTION("IF(REGEXMATCH(A230, ""^00-""), 0, IF(AND(EQ(F230, """"), EQ(G230, """")), 1, 0))"),0.0)</f>
        <v>0</v>
      </c>
      <c r="O230" s="6">
        <f>IFERROR(__xludf.DUMMYFUNCTION("IF(REGEXMATCH(A230, ""^00-""), 0, IF(AND(NE(F230, """"), EQ(G230, """")), 1, 0))"),0.0)</f>
        <v>0</v>
      </c>
      <c r="P230" s="6">
        <f>IFERROR(__xludf.DUMMYFUNCTION("IF(REGEXMATCH(A230, ""^00-""), 0, IF(AND(EQ(F230, """"), NE(G230, """")), 1, 0))"),0.0)</f>
        <v>0</v>
      </c>
      <c r="Q230" s="6">
        <f>IFERROR(__xludf.DUMMYFUNCTION("IF(REGEXMATCH(A230, ""^00-""), 0, IF(AND(NE(F230, """"), NE(G230, """")), 1, 0))"),1.0)</f>
        <v>1</v>
      </c>
      <c r="R230" s="6">
        <f t="shared" si="1"/>
        <v>1</v>
      </c>
    </row>
    <row r="231">
      <c r="A231" s="1" t="s">
        <v>36</v>
      </c>
      <c r="B231" s="1" t="s">
        <v>829</v>
      </c>
      <c r="C231" s="1">
        <v>1287.0</v>
      </c>
      <c r="D231" s="1">
        <v>23152.0</v>
      </c>
      <c r="E231" s="1">
        <v>24439.0</v>
      </c>
      <c r="F231" s="7"/>
      <c r="G231" s="7" t="s">
        <v>830</v>
      </c>
      <c r="H231" s="1" t="s">
        <v>190</v>
      </c>
      <c r="I231" s="1" t="s">
        <v>172</v>
      </c>
      <c r="J231" s="1" t="s">
        <v>575</v>
      </c>
      <c r="K231" s="1" t="s">
        <v>811</v>
      </c>
      <c r="L231" s="1"/>
      <c r="M231" s="1" t="s">
        <v>191</v>
      </c>
      <c r="N231" s="6">
        <f>IFERROR(__xludf.DUMMYFUNCTION("IF(REGEXMATCH(A231, ""^00-""), 0, IF(AND(EQ(F231, """"), EQ(G231, """")), 1, 0))"),0.0)</f>
        <v>0</v>
      </c>
      <c r="O231" s="6">
        <f>IFERROR(__xludf.DUMMYFUNCTION("IF(REGEXMATCH(A231, ""^00-""), 0, IF(AND(NE(F231, """"), EQ(G231, """")), 1, 0))"),0.0)</f>
        <v>0</v>
      </c>
      <c r="P231" s="6">
        <f>IFERROR(__xludf.DUMMYFUNCTION("IF(REGEXMATCH(A231, ""^00-""), 0, IF(AND(EQ(F231, """"), NE(G231, """")), 1, 0))"),1.0)</f>
        <v>1</v>
      </c>
      <c r="Q231" s="6">
        <f>IFERROR(__xludf.DUMMYFUNCTION("IF(REGEXMATCH(A231, ""^00-""), 0, IF(AND(NE(F231, """"), NE(G231, """")), 1, 0))"),0.0)</f>
        <v>0</v>
      </c>
      <c r="R231" s="6">
        <f t="shared" si="1"/>
        <v>1</v>
      </c>
    </row>
    <row r="232">
      <c r="A232" s="1" t="s">
        <v>36</v>
      </c>
      <c r="B232" s="1" t="s">
        <v>831</v>
      </c>
      <c r="C232" s="1">
        <v>1290.0</v>
      </c>
      <c r="D232" s="1">
        <v>23149.0</v>
      </c>
      <c r="E232" s="1">
        <v>24439.0</v>
      </c>
      <c r="F232" s="7"/>
      <c r="G232" s="7" t="s">
        <v>832</v>
      </c>
      <c r="H232" s="1" t="s">
        <v>190</v>
      </c>
      <c r="I232" s="1" t="s">
        <v>172</v>
      </c>
      <c r="J232" s="1" t="s">
        <v>575</v>
      </c>
      <c r="K232" s="1" t="s">
        <v>811</v>
      </c>
      <c r="L232" s="1"/>
      <c r="M232" s="1" t="s">
        <v>191</v>
      </c>
      <c r="N232" s="6">
        <f>IFERROR(__xludf.DUMMYFUNCTION("IF(REGEXMATCH(A232, ""^00-""), 0, IF(AND(EQ(F232, """"), EQ(G232, """")), 1, 0))"),0.0)</f>
        <v>0</v>
      </c>
      <c r="O232" s="6">
        <f>IFERROR(__xludf.DUMMYFUNCTION("IF(REGEXMATCH(A232, ""^00-""), 0, IF(AND(NE(F232, """"), EQ(G232, """")), 1, 0))"),0.0)</f>
        <v>0</v>
      </c>
      <c r="P232" s="6">
        <f>IFERROR(__xludf.DUMMYFUNCTION("IF(REGEXMATCH(A232, ""^00-""), 0, IF(AND(EQ(F232, """"), NE(G232, """")), 1, 0))"),1.0)</f>
        <v>1</v>
      </c>
      <c r="Q232" s="6">
        <f>IFERROR(__xludf.DUMMYFUNCTION("IF(REGEXMATCH(A232, ""^00-""), 0, IF(AND(NE(F232, """"), NE(G232, """")), 1, 0))"),0.0)</f>
        <v>0</v>
      </c>
      <c r="R232" s="6">
        <f t="shared" si="1"/>
        <v>1</v>
      </c>
    </row>
    <row r="233">
      <c r="A233" s="1" t="s">
        <v>38</v>
      </c>
      <c r="B233" s="1" t="s">
        <v>833</v>
      </c>
      <c r="C233" s="1">
        <v>13629.0</v>
      </c>
      <c r="D233" s="1">
        <v>0.0</v>
      </c>
      <c r="E233" s="1">
        <v>13629.0</v>
      </c>
      <c r="F233" s="7" t="s">
        <v>834</v>
      </c>
      <c r="G233" s="7" t="s">
        <v>835</v>
      </c>
      <c r="H233" s="1" t="s">
        <v>182</v>
      </c>
      <c r="I233" s="1" t="s">
        <v>172</v>
      </c>
      <c r="J233" s="1" t="s">
        <v>628</v>
      </c>
      <c r="K233" s="1" t="s">
        <v>811</v>
      </c>
      <c r="L233" s="1"/>
      <c r="M233" s="1" t="s">
        <v>185</v>
      </c>
      <c r="N233" s="6">
        <f>IFERROR(__xludf.DUMMYFUNCTION("IF(REGEXMATCH(A233, ""^00-""), 0, IF(AND(EQ(F233, """"), EQ(G233, """")), 1, 0))"),0.0)</f>
        <v>0</v>
      </c>
      <c r="O233" s="6">
        <f>IFERROR(__xludf.DUMMYFUNCTION("IF(REGEXMATCH(A233, ""^00-""), 0, IF(AND(NE(F233, """"), EQ(G233, """")), 1, 0))"),0.0)</f>
        <v>0</v>
      </c>
      <c r="P233" s="6">
        <f>IFERROR(__xludf.DUMMYFUNCTION("IF(REGEXMATCH(A233, ""^00-""), 0, IF(AND(EQ(F233, """"), NE(G233, """")), 1, 0))"),0.0)</f>
        <v>0</v>
      </c>
      <c r="Q233" s="6">
        <f>IFERROR(__xludf.DUMMYFUNCTION("IF(REGEXMATCH(A233, ""^00-""), 0, IF(AND(NE(F233, """"), NE(G233, """")), 1, 0))"),1.0)</f>
        <v>1</v>
      </c>
      <c r="R233" s="6">
        <f t="shared" si="1"/>
        <v>1</v>
      </c>
    </row>
    <row r="234">
      <c r="A234" s="1" t="s">
        <v>38</v>
      </c>
      <c r="B234" s="1" t="s">
        <v>836</v>
      </c>
      <c r="C234" s="1">
        <v>13618.0</v>
      </c>
      <c r="D234" s="1">
        <v>11.0</v>
      </c>
      <c r="E234" s="1">
        <v>13629.0</v>
      </c>
      <c r="F234" s="7" t="s">
        <v>626</v>
      </c>
      <c r="G234" s="7" t="s">
        <v>627</v>
      </c>
      <c r="H234" s="1" t="s">
        <v>250</v>
      </c>
      <c r="I234" s="1" t="s">
        <v>172</v>
      </c>
      <c r="J234" s="1" t="s">
        <v>628</v>
      </c>
      <c r="K234" s="1" t="s">
        <v>811</v>
      </c>
      <c r="L234" s="1"/>
      <c r="M234" s="1" t="s">
        <v>250</v>
      </c>
      <c r="N234" s="6">
        <f>IFERROR(__xludf.DUMMYFUNCTION("IF(REGEXMATCH(A234, ""^00-""), 0, IF(AND(EQ(F234, """"), EQ(G234, """")), 1, 0))"),0.0)</f>
        <v>0</v>
      </c>
      <c r="O234" s="6">
        <f>IFERROR(__xludf.DUMMYFUNCTION("IF(REGEXMATCH(A234, ""^00-""), 0, IF(AND(NE(F234, """"), EQ(G234, """")), 1, 0))"),0.0)</f>
        <v>0</v>
      </c>
      <c r="P234" s="6">
        <f>IFERROR(__xludf.DUMMYFUNCTION("IF(REGEXMATCH(A234, ""^00-""), 0, IF(AND(EQ(F234, """"), NE(G234, """")), 1, 0))"),0.0)</f>
        <v>0</v>
      </c>
      <c r="Q234" s="6">
        <f>IFERROR(__xludf.DUMMYFUNCTION("IF(REGEXMATCH(A234, ""^00-""), 0, IF(AND(NE(F234, """"), NE(G234, """")), 1, 0))"),1.0)</f>
        <v>1</v>
      </c>
      <c r="R234" s="6">
        <f t="shared" si="1"/>
        <v>1</v>
      </c>
    </row>
    <row r="235">
      <c r="A235" s="1" t="s">
        <v>38</v>
      </c>
      <c r="B235" s="1" t="s">
        <v>837</v>
      </c>
      <c r="C235" s="1">
        <v>13604.0</v>
      </c>
      <c r="D235" s="1">
        <v>25.0</v>
      </c>
      <c r="E235" s="1">
        <v>13629.0</v>
      </c>
      <c r="F235" s="7" t="s">
        <v>630</v>
      </c>
      <c r="G235" s="7" t="s">
        <v>631</v>
      </c>
      <c r="H235" s="1" t="s">
        <v>254</v>
      </c>
      <c r="I235" s="1" t="s">
        <v>172</v>
      </c>
      <c r="J235" s="1" t="s">
        <v>628</v>
      </c>
      <c r="K235" s="1" t="s">
        <v>811</v>
      </c>
      <c r="L235" s="1"/>
      <c r="M235" s="1" t="s">
        <v>254</v>
      </c>
      <c r="N235" s="6">
        <f>IFERROR(__xludf.DUMMYFUNCTION("IF(REGEXMATCH(A235, ""^00-""), 0, IF(AND(EQ(F235, """"), EQ(G235, """")), 1, 0))"),0.0)</f>
        <v>0</v>
      </c>
      <c r="O235" s="6">
        <f>IFERROR(__xludf.DUMMYFUNCTION("IF(REGEXMATCH(A235, ""^00-""), 0, IF(AND(NE(F235, """"), EQ(G235, """")), 1, 0))"),0.0)</f>
        <v>0</v>
      </c>
      <c r="P235" s="6">
        <f>IFERROR(__xludf.DUMMYFUNCTION("IF(REGEXMATCH(A235, ""^00-""), 0, IF(AND(EQ(F235, """"), NE(G235, """")), 1, 0))"),0.0)</f>
        <v>0</v>
      </c>
      <c r="Q235" s="6">
        <f>IFERROR(__xludf.DUMMYFUNCTION("IF(REGEXMATCH(A235, ""^00-""), 0, IF(AND(NE(F235, """"), NE(G235, """")), 1, 0))"),1.0)</f>
        <v>1</v>
      </c>
      <c r="R235" s="6">
        <f t="shared" si="1"/>
        <v>1</v>
      </c>
    </row>
    <row r="236">
      <c r="A236" s="1" t="s">
        <v>38</v>
      </c>
      <c r="B236" s="1" t="s">
        <v>838</v>
      </c>
      <c r="C236" s="1">
        <v>12744.0</v>
      </c>
      <c r="D236" s="1">
        <v>885.0</v>
      </c>
      <c r="E236" s="1">
        <v>13629.0</v>
      </c>
      <c r="F236" s="7" t="s">
        <v>633</v>
      </c>
      <c r="G236" s="7" t="s">
        <v>634</v>
      </c>
      <c r="H236" s="1" t="s">
        <v>182</v>
      </c>
      <c r="I236" s="1" t="s">
        <v>172</v>
      </c>
      <c r="J236" s="1" t="s">
        <v>628</v>
      </c>
      <c r="K236" s="1" t="s">
        <v>811</v>
      </c>
      <c r="L236" s="1"/>
      <c r="M236" s="1" t="s">
        <v>257</v>
      </c>
      <c r="N236" s="6">
        <f>IFERROR(__xludf.DUMMYFUNCTION("IF(REGEXMATCH(A236, ""^00-""), 0, IF(AND(EQ(F236, """"), EQ(G236, """")), 1, 0))"),0.0)</f>
        <v>0</v>
      </c>
      <c r="O236" s="6">
        <f>IFERROR(__xludf.DUMMYFUNCTION("IF(REGEXMATCH(A236, ""^00-""), 0, IF(AND(NE(F236, """"), EQ(G236, """")), 1, 0))"),0.0)</f>
        <v>0</v>
      </c>
      <c r="P236" s="6">
        <f>IFERROR(__xludf.DUMMYFUNCTION("IF(REGEXMATCH(A236, ""^00-""), 0, IF(AND(EQ(F236, """"), NE(G236, """")), 1, 0))"),0.0)</f>
        <v>0</v>
      </c>
      <c r="Q236" s="6">
        <f>IFERROR(__xludf.DUMMYFUNCTION("IF(REGEXMATCH(A236, ""^00-""), 0, IF(AND(NE(F236, """"), NE(G236, """")), 1, 0))"),1.0)</f>
        <v>1</v>
      </c>
      <c r="R236" s="6">
        <f t="shared" si="1"/>
        <v>1</v>
      </c>
    </row>
    <row r="237">
      <c r="A237" s="1" t="s">
        <v>38</v>
      </c>
      <c r="B237" s="1" t="s">
        <v>839</v>
      </c>
      <c r="C237" s="1">
        <v>12743.0</v>
      </c>
      <c r="D237" s="1">
        <v>886.0</v>
      </c>
      <c r="E237" s="1">
        <v>13629.0</v>
      </c>
      <c r="F237" s="1" t="s">
        <v>636</v>
      </c>
      <c r="G237" s="1" t="s">
        <v>637</v>
      </c>
      <c r="H237" s="1" t="s">
        <v>182</v>
      </c>
      <c r="I237" s="1" t="s">
        <v>172</v>
      </c>
      <c r="J237" s="1" t="s">
        <v>628</v>
      </c>
      <c r="K237" s="1" t="s">
        <v>811</v>
      </c>
      <c r="L237" s="1"/>
      <c r="M237" s="1" t="s">
        <v>257</v>
      </c>
      <c r="N237" s="6">
        <f>IFERROR(__xludf.DUMMYFUNCTION("IF(REGEXMATCH(A237, ""^00-""), 0, IF(AND(EQ(F237, """"), EQ(G237, """")), 1, 0))"),0.0)</f>
        <v>0</v>
      </c>
      <c r="O237" s="6">
        <f>IFERROR(__xludf.DUMMYFUNCTION("IF(REGEXMATCH(A237, ""^00-""), 0, IF(AND(NE(F237, """"), EQ(G237, """")), 1, 0))"),0.0)</f>
        <v>0</v>
      </c>
      <c r="P237" s="6">
        <f>IFERROR(__xludf.DUMMYFUNCTION("IF(REGEXMATCH(A237, ""^00-""), 0, IF(AND(EQ(F237, """"), NE(G237, """")), 1, 0))"),0.0)</f>
        <v>0</v>
      </c>
      <c r="Q237" s="6">
        <f>IFERROR(__xludf.DUMMYFUNCTION("IF(REGEXMATCH(A237, ""^00-""), 0, IF(AND(NE(F237, """"), NE(G237, """")), 1, 0))"),1.0)</f>
        <v>1</v>
      </c>
      <c r="R237" s="6">
        <f t="shared" si="1"/>
        <v>1</v>
      </c>
    </row>
    <row r="238">
      <c r="A238" s="1" t="s">
        <v>38</v>
      </c>
      <c r="B238" s="1" t="s">
        <v>840</v>
      </c>
      <c r="C238" s="1">
        <v>13485.0</v>
      </c>
      <c r="D238" s="1">
        <v>144.0</v>
      </c>
      <c r="E238" s="1">
        <v>13629.0</v>
      </c>
      <c r="F238" s="1" t="s">
        <v>639</v>
      </c>
      <c r="G238" s="1" t="s">
        <v>640</v>
      </c>
      <c r="H238" s="1" t="s">
        <v>182</v>
      </c>
      <c r="I238" s="1" t="s">
        <v>172</v>
      </c>
      <c r="J238" s="1" t="s">
        <v>628</v>
      </c>
      <c r="K238" s="1" t="s">
        <v>811</v>
      </c>
      <c r="L238" s="1"/>
      <c r="M238" s="1" t="s">
        <v>257</v>
      </c>
      <c r="N238" s="6">
        <f>IFERROR(__xludf.DUMMYFUNCTION("IF(REGEXMATCH(A238, ""^00-""), 0, IF(AND(EQ(F238, """"), EQ(G238, """")), 1, 0))"),0.0)</f>
        <v>0</v>
      </c>
      <c r="O238" s="6">
        <f>IFERROR(__xludf.DUMMYFUNCTION("IF(REGEXMATCH(A238, ""^00-""), 0, IF(AND(NE(F238, """"), EQ(G238, """")), 1, 0))"),0.0)</f>
        <v>0</v>
      </c>
      <c r="P238" s="6">
        <f>IFERROR(__xludf.DUMMYFUNCTION("IF(REGEXMATCH(A238, ""^00-""), 0, IF(AND(EQ(F238, """"), NE(G238, """")), 1, 0))"),0.0)</f>
        <v>0</v>
      </c>
      <c r="Q238" s="6">
        <f>IFERROR(__xludf.DUMMYFUNCTION("IF(REGEXMATCH(A238, ""^00-""), 0, IF(AND(NE(F238, """"), NE(G238, """")), 1, 0))"),1.0)</f>
        <v>1</v>
      </c>
      <c r="R238" s="6">
        <f t="shared" si="1"/>
        <v>1</v>
      </c>
    </row>
    <row r="239">
      <c r="A239" s="1" t="s">
        <v>38</v>
      </c>
      <c r="B239" s="1" t="s">
        <v>841</v>
      </c>
      <c r="C239" s="1">
        <v>13581.0</v>
      </c>
      <c r="D239" s="1">
        <v>48.0</v>
      </c>
      <c r="E239" s="1">
        <v>13629.0</v>
      </c>
      <c r="F239" s="1" t="s">
        <v>642</v>
      </c>
      <c r="G239" s="1" t="s">
        <v>643</v>
      </c>
      <c r="H239" s="1" t="s">
        <v>190</v>
      </c>
      <c r="I239" s="1" t="s">
        <v>172</v>
      </c>
      <c r="J239" s="1" t="s">
        <v>628</v>
      </c>
      <c r="K239" s="1" t="s">
        <v>811</v>
      </c>
      <c r="L239" s="1"/>
      <c r="M239" s="1" t="s">
        <v>191</v>
      </c>
      <c r="N239" s="6">
        <f>IFERROR(__xludf.DUMMYFUNCTION("IF(REGEXMATCH(A239, ""^00-""), 0, IF(AND(EQ(F239, """"), EQ(G239, """")), 1, 0))"),0.0)</f>
        <v>0</v>
      </c>
      <c r="O239" s="6">
        <f>IFERROR(__xludf.DUMMYFUNCTION("IF(REGEXMATCH(A239, ""^00-""), 0, IF(AND(NE(F239, """"), EQ(G239, """")), 1, 0))"),0.0)</f>
        <v>0</v>
      </c>
      <c r="P239" s="6">
        <f>IFERROR(__xludf.DUMMYFUNCTION("IF(REGEXMATCH(A239, ""^00-""), 0, IF(AND(EQ(F239, """"), NE(G239, """")), 1, 0))"),0.0)</f>
        <v>0</v>
      </c>
      <c r="Q239" s="6">
        <f>IFERROR(__xludf.DUMMYFUNCTION("IF(REGEXMATCH(A239, ""^00-""), 0, IF(AND(NE(F239, """"), NE(G239, """")), 1, 0))"),1.0)</f>
        <v>1</v>
      </c>
      <c r="R239" s="6">
        <f t="shared" si="1"/>
        <v>1</v>
      </c>
    </row>
    <row r="240">
      <c r="A240" s="1" t="s">
        <v>38</v>
      </c>
      <c r="B240" s="1" t="s">
        <v>842</v>
      </c>
      <c r="C240" s="1">
        <v>13578.0</v>
      </c>
      <c r="D240" s="1">
        <v>51.0</v>
      </c>
      <c r="E240" s="1">
        <v>13629.0</v>
      </c>
      <c r="F240" s="1" t="s">
        <v>645</v>
      </c>
      <c r="G240" s="1" t="s">
        <v>646</v>
      </c>
      <c r="H240" s="1" t="s">
        <v>190</v>
      </c>
      <c r="I240" s="1" t="s">
        <v>172</v>
      </c>
      <c r="J240" s="1" t="s">
        <v>628</v>
      </c>
      <c r="K240" s="1" t="s">
        <v>811</v>
      </c>
      <c r="L240" s="1"/>
      <c r="M240" s="1" t="s">
        <v>191</v>
      </c>
      <c r="N240" s="6">
        <f>IFERROR(__xludf.DUMMYFUNCTION("IF(REGEXMATCH(A240, ""^00-""), 0, IF(AND(EQ(F240, """"), EQ(G240, """")), 1, 0))"),0.0)</f>
        <v>0</v>
      </c>
      <c r="O240" s="6">
        <f>IFERROR(__xludf.DUMMYFUNCTION("IF(REGEXMATCH(A240, ""^00-""), 0, IF(AND(NE(F240, """"), EQ(G240, """")), 1, 0))"),0.0)</f>
        <v>0</v>
      </c>
      <c r="P240" s="6">
        <f>IFERROR(__xludf.DUMMYFUNCTION("IF(REGEXMATCH(A240, ""^00-""), 0, IF(AND(EQ(F240, """"), NE(G240, """")), 1, 0))"),0.0)</f>
        <v>0</v>
      </c>
      <c r="Q240" s="6">
        <f>IFERROR(__xludf.DUMMYFUNCTION("IF(REGEXMATCH(A240, ""^00-""), 0, IF(AND(NE(F240, """"), NE(G240, """")), 1, 0))"),1.0)</f>
        <v>1</v>
      </c>
      <c r="R240" s="6">
        <f t="shared" si="1"/>
        <v>1</v>
      </c>
    </row>
    <row r="241">
      <c r="A241" s="1" t="s">
        <v>38</v>
      </c>
      <c r="B241" s="1" t="s">
        <v>843</v>
      </c>
      <c r="C241" s="1">
        <v>13587.0</v>
      </c>
      <c r="D241" s="1">
        <v>42.0</v>
      </c>
      <c r="E241" s="1">
        <v>13629.0</v>
      </c>
      <c r="F241" s="1" t="s">
        <v>648</v>
      </c>
      <c r="G241" s="1" t="s">
        <v>649</v>
      </c>
      <c r="H241" s="1" t="s">
        <v>190</v>
      </c>
      <c r="I241" s="1" t="s">
        <v>172</v>
      </c>
      <c r="J241" s="1" t="s">
        <v>628</v>
      </c>
      <c r="K241" s="1" t="s">
        <v>811</v>
      </c>
      <c r="L241" s="1"/>
      <c r="M241" s="1" t="s">
        <v>191</v>
      </c>
      <c r="N241" s="6">
        <f>IFERROR(__xludf.DUMMYFUNCTION("IF(REGEXMATCH(A241, ""^00-""), 0, IF(AND(EQ(F241, """"), EQ(G241, """")), 1, 0))"),0.0)</f>
        <v>0</v>
      </c>
      <c r="O241" s="6">
        <f>IFERROR(__xludf.DUMMYFUNCTION("IF(REGEXMATCH(A241, ""^00-""), 0, IF(AND(NE(F241, """"), EQ(G241, """")), 1, 0))"),0.0)</f>
        <v>0</v>
      </c>
      <c r="P241" s="6">
        <f>IFERROR(__xludf.DUMMYFUNCTION("IF(REGEXMATCH(A241, ""^00-""), 0, IF(AND(EQ(F241, """"), NE(G241, """")), 1, 0))"),0.0)</f>
        <v>0</v>
      </c>
      <c r="Q241" s="6">
        <f>IFERROR(__xludf.DUMMYFUNCTION("IF(REGEXMATCH(A241, ""^00-""), 0, IF(AND(NE(F241, """"), NE(G241, """")), 1, 0))"),1.0)</f>
        <v>1</v>
      </c>
      <c r="R241" s="6">
        <f t="shared" si="1"/>
        <v>1</v>
      </c>
    </row>
    <row r="242">
      <c r="A242" s="1" t="s">
        <v>38</v>
      </c>
      <c r="B242" s="1" t="s">
        <v>844</v>
      </c>
      <c r="C242" s="1">
        <v>13578.0</v>
      </c>
      <c r="D242" s="1">
        <v>51.0</v>
      </c>
      <c r="E242" s="1">
        <v>13629.0</v>
      </c>
      <c r="F242" s="1" t="s">
        <v>651</v>
      </c>
      <c r="G242" s="1" t="s">
        <v>652</v>
      </c>
      <c r="H242" s="1" t="s">
        <v>190</v>
      </c>
      <c r="I242" s="1" t="s">
        <v>172</v>
      </c>
      <c r="J242" s="1" t="s">
        <v>628</v>
      </c>
      <c r="K242" s="1" t="s">
        <v>811</v>
      </c>
      <c r="L242" s="1"/>
      <c r="M242" s="1" t="s">
        <v>191</v>
      </c>
      <c r="N242" s="6">
        <f>IFERROR(__xludf.DUMMYFUNCTION("IF(REGEXMATCH(A242, ""^00-""), 0, IF(AND(EQ(F242, """"), EQ(G242, """")), 1, 0))"),0.0)</f>
        <v>0</v>
      </c>
      <c r="O242" s="6">
        <f>IFERROR(__xludf.DUMMYFUNCTION("IF(REGEXMATCH(A242, ""^00-""), 0, IF(AND(NE(F242, """"), EQ(G242, """")), 1, 0))"),0.0)</f>
        <v>0</v>
      </c>
      <c r="P242" s="6">
        <f>IFERROR(__xludf.DUMMYFUNCTION("IF(REGEXMATCH(A242, ""^00-""), 0, IF(AND(EQ(F242, """"), NE(G242, """")), 1, 0))"),0.0)</f>
        <v>0</v>
      </c>
      <c r="Q242" s="6">
        <f>IFERROR(__xludf.DUMMYFUNCTION("IF(REGEXMATCH(A242, ""^00-""), 0, IF(AND(NE(F242, """"), NE(G242, """")), 1, 0))"),1.0)</f>
        <v>1</v>
      </c>
      <c r="R242" s="6">
        <f t="shared" si="1"/>
        <v>1</v>
      </c>
    </row>
    <row r="243">
      <c r="A243" s="1" t="s">
        <v>40</v>
      </c>
      <c r="B243" s="1" t="s">
        <v>845</v>
      </c>
      <c r="C243" s="1">
        <v>2794.0</v>
      </c>
      <c r="D243" s="1">
        <v>0.0</v>
      </c>
      <c r="E243" s="1">
        <v>2794.0</v>
      </c>
      <c r="F243" s="1" t="s">
        <v>846</v>
      </c>
      <c r="G243" s="1" t="s">
        <v>847</v>
      </c>
      <c r="H243" s="1" t="s">
        <v>182</v>
      </c>
      <c r="I243" s="1" t="s">
        <v>172</v>
      </c>
      <c r="J243" s="1" t="s">
        <v>848</v>
      </c>
      <c r="K243" s="1" t="s">
        <v>811</v>
      </c>
      <c r="L243" s="1"/>
      <c r="M243" s="1" t="s">
        <v>185</v>
      </c>
      <c r="N243" s="6">
        <f>IFERROR(__xludf.DUMMYFUNCTION("IF(REGEXMATCH(A243, ""^00-""), 0, IF(AND(EQ(F243, """"), EQ(G243, """")), 1, 0))"),0.0)</f>
        <v>0</v>
      </c>
      <c r="O243" s="6">
        <f>IFERROR(__xludf.DUMMYFUNCTION("IF(REGEXMATCH(A243, ""^00-""), 0, IF(AND(NE(F243, """"), EQ(G243, """")), 1, 0))"),0.0)</f>
        <v>0</v>
      </c>
      <c r="P243" s="6">
        <f>IFERROR(__xludf.DUMMYFUNCTION("IF(REGEXMATCH(A243, ""^00-""), 0, IF(AND(EQ(F243, """"), NE(G243, """")), 1, 0))"),0.0)</f>
        <v>0</v>
      </c>
      <c r="Q243" s="6">
        <f>IFERROR(__xludf.DUMMYFUNCTION("IF(REGEXMATCH(A243, ""^00-""), 0, IF(AND(NE(F243, """"), NE(G243, """")), 1, 0))"),1.0)</f>
        <v>1</v>
      </c>
      <c r="R243" s="6">
        <f t="shared" si="1"/>
        <v>1</v>
      </c>
    </row>
    <row r="244">
      <c r="A244" s="1" t="s">
        <v>40</v>
      </c>
      <c r="B244" s="1" t="s">
        <v>849</v>
      </c>
      <c r="C244" s="1">
        <v>2793.0</v>
      </c>
      <c r="D244" s="1">
        <v>1.0</v>
      </c>
      <c r="E244" s="1">
        <v>2794.0</v>
      </c>
      <c r="F244" s="1" t="s">
        <v>850</v>
      </c>
      <c r="G244" s="1" t="s">
        <v>851</v>
      </c>
      <c r="H244" s="1" t="s">
        <v>250</v>
      </c>
      <c r="I244" s="1" t="s">
        <v>172</v>
      </c>
      <c r="J244" s="1" t="s">
        <v>848</v>
      </c>
      <c r="K244" s="1" t="s">
        <v>811</v>
      </c>
      <c r="L244" s="1"/>
      <c r="M244" s="1" t="s">
        <v>250</v>
      </c>
      <c r="N244" s="6">
        <f>IFERROR(__xludf.DUMMYFUNCTION("IF(REGEXMATCH(A244, ""^00-""), 0, IF(AND(EQ(F244, """"), EQ(G244, """")), 1, 0))"),0.0)</f>
        <v>0</v>
      </c>
      <c r="O244" s="6">
        <f>IFERROR(__xludf.DUMMYFUNCTION("IF(REGEXMATCH(A244, ""^00-""), 0, IF(AND(NE(F244, """"), EQ(G244, """")), 1, 0))"),0.0)</f>
        <v>0</v>
      </c>
      <c r="P244" s="6">
        <f>IFERROR(__xludf.DUMMYFUNCTION("IF(REGEXMATCH(A244, ""^00-""), 0, IF(AND(EQ(F244, """"), NE(G244, """")), 1, 0))"),0.0)</f>
        <v>0</v>
      </c>
      <c r="Q244" s="6">
        <f>IFERROR(__xludf.DUMMYFUNCTION("IF(REGEXMATCH(A244, ""^00-""), 0, IF(AND(NE(F244, """"), NE(G244, """")), 1, 0))"),1.0)</f>
        <v>1</v>
      </c>
      <c r="R244" s="6">
        <f t="shared" si="1"/>
        <v>1</v>
      </c>
    </row>
    <row r="245">
      <c r="A245" s="1" t="s">
        <v>40</v>
      </c>
      <c r="B245" s="1" t="s">
        <v>852</v>
      </c>
      <c r="C245" s="1">
        <v>2788.0</v>
      </c>
      <c r="D245" s="1">
        <v>6.0</v>
      </c>
      <c r="E245" s="1">
        <v>2794.0</v>
      </c>
      <c r="F245" s="1" t="s">
        <v>853</v>
      </c>
      <c r="G245" s="1" t="s">
        <v>854</v>
      </c>
      <c r="H245" s="1" t="s">
        <v>254</v>
      </c>
      <c r="I245" s="1" t="s">
        <v>172</v>
      </c>
      <c r="J245" s="1" t="s">
        <v>848</v>
      </c>
      <c r="K245" s="1" t="s">
        <v>811</v>
      </c>
      <c r="L245" s="1"/>
      <c r="M245" s="1" t="s">
        <v>254</v>
      </c>
      <c r="N245" s="6">
        <f>IFERROR(__xludf.DUMMYFUNCTION("IF(REGEXMATCH(A245, ""^00-""), 0, IF(AND(EQ(F245, """"), EQ(G245, """")), 1, 0))"),0.0)</f>
        <v>0</v>
      </c>
      <c r="O245" s="6">
        <f>IFERROR(__xludf.DUMMYFUNCTION("IF(REGEXMATCH(A245, ""^00-""), 0, IF(AND(NE(F245, """"), EQ(G245, """")), 1, 0))"),0.0)</f>
        <v>0</v>
      </c>
      <c r="P245" s="6">
        <f>IFERROR(__xludf.DUMMYFUNCTION("IF(REGEXMATCH(A245, ""^00-""), 0, IF(AND(EQ(F245, """"), NE(G245, """")), 1, 0))"),0.0)</f>
        <v>0</v>
      </c>
      <c r="Q245" s="6">
        <f>IFERROR(__xludf.DUMMYFUNCTION("IF(REGEXMATCH(A245, ""^00-""), 0, IF(AND(NE(F245, """"), NE(G245, """")), 1, 0))"),1.0)</f>
        <v>1</v>
      </c>
      <c r="R245" s="6">
        <f t="shared" si="1"/>
        <v>1</v>
      </c>
    </row>
    <row r="246">
      <c r="A246" s="1" t="s">
        <v>40</v>
      </c>
      <c r="B246" s="1" t="s">
        <v>855</v>
      </c>
      <c r="C246" s="1">
        <v>2787.0</v>
      </c>
      <c r="D246" s="1">
        <v>7.0</v>
      </c>
      <c r="E246" s="1">
        <v>2794.0</v>
      </c>
      <c r="F246" s="1" t="s">
        <v>856</v>
      </c>
      <c r="G246" s="1" t="s">
        <v>857</v>
      </c>
      <c r="H246" s="1" t="s">
        <v>235</v>
      </c>
      <c r="I246" s="1" t="s">
        <v>172</v>
      </c>
      <c r="J246" s="1" t="s">
        <v>848</v>
      </c>
      <c r="K246" s="1" t="s">
        <v>811</v>
      </c>
      <c r="L246" s="1"/>
      <c r="M246" s="1" t="s">
        <v>855</v>
      </c>
      <c r="N246" s="6">
        <f>IFERROR(__xludf.DUMMYFUNCTION("IF(REGEXMATCH(A246, ""^00-""), 0, IF(AND(EQ(F246, """"), EQ(G246, """")), 1, 0))"),0.0)</f>
        <v>0</v>
      </c>
      <c r="O246" s="6">
        <f>IFERROR(__xludf.DUMMYFUNCTION("IF(REGEXMATCH(A246, ""^00-""), 0, IF(AND(NE(F246, """"), EQ(G246, """")), 1, 0))"),0.0)</f>
        <v>0</v>
      </c>
      <c r="P246" s="6">
        <f>IFERROR(__xludf.DUMMYFUNCTION("IF(REGEXMATCH(A246, ""^00-""), 0, IF(AND(EQ(F246, """"), NE(G246, """")), 1, 0))"),0.0)</f>
        <v>0</v>
      </c>
      <c r="Q246" s="6">
        <f>IFERROR(__xludf.DUMMYFUNCTION("IF(REGEXMATCH(A246, ""^00-""), 0, IF(AND(NE(F246, """"), NE(G246, """")), 1, 0))"),1.0)</f>
        <v>1</v>
      </c>
      <c r="R246" s="6">
        <f t="shared" si="1"/>
        <v>1</v>
      </c>
    </row>
    <row r="247">
      <c r="A247" s="1" t="s">
        <v>40</v>
      </c>
      <c r="B247" s="1" t="s">
        <v>858</v>
      </c>
      <c r="C247" s="1">
        <v>1828.0</v>
      </c>
      <c r="D247" s="1">
        <v>966.0</v>
      </c>
      <c r="E247" s="1">
        <v>2794.0</v>
      </c>
      <c r="F247" s="1" t="s">
        <v>859</v>
      </c>
      <c r="G247" s="1" t="s">
        <v>860</v>
      </c>
      <c r="H247" s="1" t="s">
        <v>182</v>
      </c>
      <c r="I247" s="1" t="s">
        <v>172</v>
      </c>
      <c r="J247" s="1" t="s">
        <v>848</v>
      </c>
      <c r="K247" s="1" t="s">
        <v>811</v>
      </c>
      <c r="L247" s="1"/>
      <c r="M247" s="1" t="s">
        <v>257</v>
      </c>
      <c r="N247" s="6">
        <f>IFERROR(__xludf.DUMMYFUNCTION("IF(REGEXMATCH(A247, ""^00-""), 0, IF(AND(EQ(F247, """"), EQ(G247, """")), 1, 0))"),0.0)</f>
        <v>0</v>
      </c>
      <c r="O247" s="6">
        <f>IFERROR(__xludf.DUMMYFUNCTION("IF(REGEXMATCH(A247, ""^00-""), 0, IF(AND(NE(F247, """"), EQ(G247, """")), 1, 0))"),0.0)</f>
        <v>0</v>
      </c>
      <c r="P247" s="6">
        <f>IFERROR(__xludf.DUMMYFUNCTION("IF(REGEXMATCH(A247, ""^00-""), 0, IF(AND(EQ(F247, """"), NE(G247, """")), 1, 0))"),0.0)</f>
        <v>0</v>
      </c>
      <c r="Q247" s="6">
        <f>IFERROR(__xludf.DUMMYFUNCTION("IF(REGEXMATCH(A247, ""^00-""), 0, IF(AND(NE(F247, """"), NE(G247, """")), 1, 0))"),1.0)</f>
        <v>1</v>
      </c>
      <c r="R247" s="6">
        <f t="shared" si="1"/>
        <v>1</v>
      </c>
    </row>
    <row r="248">
      <c r="A248" s="1" t="s">
        <v>40</v>
      </c>
      <c r="B248" s="1" t="s">
        <v>861</v>
      </c>
      <c r="C248" s="1">
        <v>1327.0</v>
      </c>
      <c r="D248" s="1">
        <v>1467.0</v>
      </c>
      <c r="E248" s="1">
        <v>2794.0</v>
      </c>
      <c r="F248" s="1" t="s">
        <v>862</v>
      </c>
      <c r="G248" s="1" t="s">
        <v>863</v>
      </c>
      <c r="H248" s="1" t="s">
        <v>182</v>
      </c>
      <c r="I248" s="1" t="s">
        <v>172</v>
      </c>
      <c r="J248" s="1" t="s">
        <v>848</v>
      </c>
      <c r="K248" s="1" t="s">
        <v>811</v>
      </c>
      <c r="L248" s="1"/>
      <c r="M248" s="1" t="s">
        <v>257</v>
      </c>
      <c r="N248" s="6">
        <f>IFERROR(__xludf.DUMMYFUNCTION("IF(REGEXMATCH(A248, ""^00-""), 0, IF(AND(EQ(F248, """"), EQ(G248, """")), 1, 0))"),0.0)</f>
        <v>0</v>
      </c>
      <c r="O248" s="6">
        <f>IFERROR(__xludf.DUMMYFUNCTION("IF(REGEXMATCH(A248, ""^00-""), 0, IF(AND(NE(F248, """"), EQ(G248, """")), 1, 0))"),0.0)</f>
        <v>0</v>
      </c>
      <c r="P248" s="6">
        <f>IFERROR(__xludf.DUMMYFUNCTION("IF(REGEXMATCH(A248, ""^00-""), 0, IF(AND(EQ(F248, """"), NE(G248, """")), 1, 0))"),0.0)</f>
        <v>0</v>
      </c>
      <c r="Q248" s="6">
        <f>IFERROR(__xludf.DUMMYFUNCTION("IF(REGEXMATCH(A248, ""^00-""), 0, IF(AND(NE(F248, """"), NE(G248, """")), 1, 0))"),1.0)</f>
        <v>1</v>
      </c>
      <c r="R248" s="6">
        <f t="shared" si="1"/>
        <v>1</v>
      </c>
    </row>
    <row r="249">
      <c r="A249" s="1" t="s">
        <v>40</v>
      </c>
      <c r="B249" s="1" t="s">
        <v>864</v>
      </c>
      <c r="C249" s="1">
        <v>1310.0</v>
      </c>
      <c r="D249" s="1">
        <v>1484.0</v>
      </c>
      <c r="E249" s="1">
        <v>2794.0</v>
      </c>
      <c r="F249" s="1" t="s">
        <v>865</v>
      </c>
      <c r="G249" s="1" t="s">
        <v>866</v>
      </c>
      <c r="H249" s="1" t="s">
        <v>182</v>
      </c>
      <c r="I249" s="1" t="s">
        <v>172</v>
      </c>
      <c r="J249" s="1" t="s">
        <v>848</v>
      </c>
      <c r="K249" s="1" t="s">
        <v>811</v>
      </c>
      <c r="L249" s="1"/>
      <c r="M249" s="1" t="s">
        <v>257</v>
      </c>
      <c r="N249" s="6">
        <f>IFERROR(__xludf.DUMMYFUNCTION("IF(REGEXMATCH(A249, ""^00-""), 0, IF(AND(EQ(F249, """"), EQ(G249, """")), 1, 0))"),0.0)</f>
        <v>0</v>
      </c>
      <c r="O249" s="6">
        <f>IFERROR(__xludf.DUMMYFUNCTION("IF(REGEXMATCH(A249, ""^00-""), 0, IF(AND(NE(F249, """"), EQ(G249, """")), 1, 0))"),0.0)</f>
        <v>0</v>
      </c>
      <c r="P249" s="6">
        <f>IFERROR(__xludf.DUMMYFUNCTION("IF(REGEXMATCH(A249, ""^00-""), 0, IF(AND(EQ(F249, """"), NE(G249, """")), 1, 0))"),0.0)</f>
        <v>0</v>
      </c>
      <c r="Q249" s="6">
        <f>IFERROR(__xludf.DUMMYFUNCTION("IF(REGEXMATCH(A249, ""^00-""), 0, IF(AND(NE(F249, """"), NE(G249, """")), 1, 0))"),1.0)</f>
        <v>1</v>
      </c>
      <c r="R249" s="6">
        <f t="shared" si="1"/>
        <v>1</v>
      </c>
    </row>
    <row r="250">
      <c r="A250" s="1" t="s">
        <v>40</v>
      </c>
      <c r="B250" s="1" t="s">
        <v>867</v>
      </c>
      <c r="C250" s="1">
        <v>1063.0</v>
      </c>
      <c r="D250" s="1">
        <v>1731.0</v>
      </c>
      <c r="E250" s="1">
        <v>2794.0</v>
      </c>
      <c r="F250" s="1" t="s">
        <v>868</v>
      </c>
      <c r="G250" s="1" t="s">
        <v>869</v>
      </c>
      <c r="H250" s="1" t="s">
        <v>182</v>
      </c>
      <c r="I250" s="1" t="s">
        <v>172</v>
      </c>
      <c r="J250" s="1" t="s">
        <v>848</v>
      </c>
      <c r="K250" s="1" t="s">
        <v>811</v>
      </c>
      <c r="L250" s="1"/>
      <c r="M250" s="1" t="s">
        <v>257</v>
      </c>
      <c r="N250" s="6">
        <f>IFERROR(__xludf.DUMMYFUNCTION("IF(REGEXMATCH(A250, ""^00-""), 0, IF(AND(EQ(F250, """"), EQ(G250, """")), 1, 0))"),0.0)</f>
        <v>0</v>
      </c>
      <c r="O250" s="6">
        <f>IFERROR(__xludf.DUMMYFUNCTION("IF(REGEXMATCH(A250, ""^00-""), 0, IF(AND(NE(F250, """"), EQ(G250, """")), 1, 0))"),0.0)</f>
        <v>0</v>
      </c>
      <c r="P250" s="6">
        <f>IFERROR(__xludf.DUMMYFUNCTION("IF(REGEXMATCH(A250, ""^00-""), 0, IF(AND(EQ(F250, """"), NE(G250, """")), 1, 0))"),0.0)</f>
        <v>0</v>
      </c>
      <c r="Q250" s="6">
        <f>IFERROR(__xludf.DUMMYFUNCTION("IF(REGEXMATCH(A250, ""^00-""), 0, IF(AND(NE(F250, """"), NE(G250, """")), 1, 0))"),1.0)</f>
        <v>1</v>
      </c>
      <c r="R250" s="6">
        <f t="shared" si="1"/>
        <v>1</v>
      </c>
    </row>
    <row r="251">
      <c r="A251" s="1" t="s">
        <v>40</v>
      </c>
      <c r="B251" s="1" t="s">
        <v>870</v>
      </c>
      <c r="C251" s="1">
        <v>1191.0</v>
      </c>
      <c r="D251" s="1">
        <v>1603.0</v>
      </c>
      <c r="E251" s="1">
        <v>2794.0</v>
      </c>
      <c r="F251" s="1" t="s">
        <v>871</v>
      </c>
      <c r="G251" s="1" t="s">
        <v>872</v>
      </c>
      <c r="H251" s="1" t="s">
        <v>182</v>
      </c>
      <c r="I251" s="1" t="s">
        <v>172</v>
      </c>
      <c r="J251" s="1" t="s">
        <v>848</v>
      </c>
      <c r="K251" s="1" t="s">
        <v>811</v>
      </c>
      <c r="L251" s="1"/>
      <c r="M251" s="1" t="s">
        <v>257</v>
      </c>
      <c r="N251" s="6">
        <f>IFERROR(__xludf.DUMMYFUNCTION("IF(REGEXMATCH(A251, ""^00-""), 0, IF(AND(EQ(F251, """"), EQ(G251, """")), 1, 0))"),0.0)</f>
        <v>0</v>
      </c>
      <c r="O251" s="6">
        <f>IFERROR(__xludf.DUMMYFUNCTION("IF(REGEXMATCH(A251, ""^00-""), 0, IF(AND(NE(F251, """"), EQ(G251, """")), 1, 0))"),0.0)</f>
        <v>0</v>
      </c>
      <c r="P251" s="6">
        <f>IFERROR(__xludf.DUMMYFUNCTION("IF(REGEXMATCH(A251, ""^00-""), 0, IF(AND(EQ(F251, """"), NE(G251, """")), 1, 0))"),0.0)</f>
        <v>0</v>
      </c>
      <c r="Q251" s="6">
        <f>IFERROR(__xludf.DUMMYFUNCTION("IF(REGEXMATCH(A251, ""^00-""), 0, IF(AND(NE(F251, """"), NE(G251, """")), 1, 0))"),1.0)</f>
        <v>1</v>
      </c>
      <c r="R251" s="6">
        <f t="shared" si="1"/>
        <v>1</v>
      </c>
    </row>
    <row r="252">
      <c r="A252" s="1" t="s">
        <v>42</v>
      </c>
      <c r="B252" s="1" t="s">
        <v>873</v>
      </c>
      <c r="C252" s="1">
        <v>10768.0</v>
      </c>
      <c r="D252" s="1">
        <v>0.0</v>
      </c>
      <c r="E252" s="1">
        <v>10768.0</v>
      </c>
      <c r="F252" s="1" t="s">
        <v>874</v>
      </c>
      <c r="G252" s="1"/>
      <c r="H252" s="1" t="s">
        <v>182</v>
      </c>
      <c r="I252" s="1" t="s">
        <v>172</v>
      </c>
      <c r="J252" s="1" t="s">
        <v>875</v>
      </c>
      <c r="K252" s="1" t="s">
        <v>811</v>
      </c>
      <c r="L252" s="1"/>
      <c r="M252" s="1" t="s">
        <v>185</v>
      </c>
      <c r="N252" s="6">
        <f>IFERROR(__xludf.DUMMYFUNCTION("IF(REGEXMATCH(A252, ""^00-""), 0, IF(AND(EQ(F252, """"), EQ(G252, """")), 1, 0))"),0.0)</f>
        <v>0</v>
      </c>
      <c r="O252" s="6">
        <f>IFERROR(__xludf.DUMMYFUNCTION("IF(REGEXMATCH(A252, ""^00-""), 0, IF(AND(NE(F252, """"), EQ(G252, """")), 1, 0))"),1.0)</f>
        <v>1</v>
      </c>
      <c r="P252" s="6">
        <f>IFERROR(__xludf.DUMMYFUNCTION("IF(REGEXMATCH(A252, ""^00-""), 0, IF(AND(EQ(F252, """"), NE(G252, """")), 1, 0))"),0.0)</f>
        <v>0</v>
      </c>
      <c r="Q252" s="6">
        <f>IFERROR(__xludf.DUMMYFUNCTION("IF(REGEXMATCH(A252, ""^00-""), 0, IF(AND(NE(F252, """"), NE(G252, """")), 1, 0))"),0.0)</f>
        <v>0</v>
      </c>
      <c r="R252" s="6">
        <f t="shared" si="1"/>
        <v>1</v>
      </c>
    </row>
    <row r="253">
      <c r="A253" s="1" t="s">
        <v>42</v>
      </c>
      <c r="B253" s="1" t="s">
        <v>876</v>
      </c>
      <c r="C253" s="1">
        <v>6070.0</v>
      </c>
      <c r="D253" s="1">
        <v>4698.0</v>
      </c>
      <c r="E253" s="1">
        <v>10768.0</v>
      </c>
      <c r="F253" s="1" t="s">
        <v>877</v>
      </c>
      <c r="G253" s="1" t="s">
        <v>878</v>
      </c>
      <c r="H253" s="1" t="s">
        <v>250</v>
      </c>
      <c r="I253" s="1" t="s">
        <v>172</v>
      </c>
      <c r="J253" s="1" t="s">
        <v>875</v>
      </c>
      <c r="K253" s="1" t="s">
        <v>811</v>
      </c>
      <c r="L253" s="1"/>
      <c r="M253" s="1" t="s">
        <v>250</v>
      </c>
      <c r="N253" s="6">
        <f>IFERROR(__xludf.DUMMYFUNCTION("IF(REGEXMATCH(A253, ""^00-""), 0, IF(AND(EQ(F253, """"), EQ(G253, """")), 1, 0))"),0.0)</f>
        <v>0</v>
      </c>
      <c r="O253" s="6">
        <f>IFERROR(__xludf.DUMMYFUNCTION("IF(REGEXMATCH(A253, ""^00-""), 0, IF(AND(NE(F253, """"), EQ(G253, """")), 1, 0))"),0.0)</f>
        <v>0</v>
      </c>
      <c r="P253" s="6">
        <f>IFERROR(__xludf.DUMMYFUNCTION("IF(REGEXMATCH(A253, ""^00-""), 0, IF(AND(EQ(F253, """"), NE(G253, """")), 1, 0))"),0.0)</f>
        <v>0</v>
      </c>
      <c r="Q253" s="6">
        <f>IFERROR(__xludf.DUMMYFUNCTION("IF(REGEXMATCH(A253, ""^00-""), 0, IF(AND(NE(F253, """"), NE(G253, """")), 1, 0))"),1.0)</f>
        <v>1</v>
      </c>
      <c r="R253" s="6">
        <f t="shared" si="1"/>
        <v>1</v>
      </c>
    </row>
    <row r="254">
      <c r="A254" s="1" t="s">
        <v>42</v>
      </c>
      <c r="B254" s="1" t="s">
        <v>879</v>
      </c>
      <c r="C254" s="1">
        <v>5778.0</v>
      </c>
      <c r="D254" s="1">
        <v>4990.0</v>
      </c>
      <c r="E254" s="1">
        <v>10768.0</v>
      </c>
      <c r="F254" s="1" t="s">
        <v>880</v>
      </c>
      <c r="G254" s="1" t="s">
        <v>881</v>
      </c>
      <c r="H254" s="1" t="s">
        <v>254</v>
      </c>
      <c r="I254" s="1" t="s">
        <v>172</v>
      </c>
      <c r="J254" s="1" t="s">
        <v>875</v>
      </c>
      <c r="K254" s="1" t="s">
        <v>811</v>
      </c>
      <c r="L254" s="1"/>
      <c r="M254" s="1" t="s">
        <v>254</v>
      </c>
      <c r="N254" s="6">
        <f>IFERROR(__xludf.DUMMYFUNCTION("IF(REGEXMATCH(A254, ""^00-""), 0, IF(AND(EQ(F254, """"), EQ(G254, """")), 1, 0))"),0.0)</f>
        <v>0</v>
      </c>
      <c r="O254" s="6">
        <f>IFERROR(__xludf.DUMMYFUNCTION("IF(REGEXMATCH(A254, ""^00-""), 0, IF(AND(NE(F254, """"), EQ(G254, """")), 1, 0))"),0.0)</f>
        <v>0</v>
      </c>
      <c r="P254" s="6">
        <f>IFERROR(__xludf.DUMMYFUNCTION("IF(REGEXMATCH(A254, ""^00-""), 0, IF(AND(EQ(F254, """"), NE(G254, """")), 1, 0))"),0.0)</f>
        <v>0</v>
      </c>
      <c r="Q254" s="6">
        <f>IFERROR(__xludf.DUMMYFUNCTION("IF(REGEXMATCH(A254, ""^00-""), 0, IF(AND(NE(F254, """"), NE(G254, """")), 1, 0))"),1.0)</f>
        <v>1</v>
      </c>
      <c r="R254" s="6">
        <f t="shared" si="1"/>
        <v>1</v>
      </c>
    </row>
    <row r="255">
      <c r="A255" s="1" t="s">
        <v>42</v>
      </c>
      <c r="B255" s="1" t="s">
        <v>529</v>
      </c>
      <c r="C255" s="1">
        <v>3612.0</v>
      </c>
      <c r="D255" s="1">
        <v>7156.0</v>
      </c>
      <c r="E255" s="1">
        <v>10768.0</v>
      </c>
      <c r="F255" s="1"/>
      <c r="G255" s="1" t="s">
        <v>882</v>
      </c>
      <c r="H255" s="1" t="s">
        <v>235</v>
      </c>
      <c r="I255" s="1" t="s">
        <v>172</v>
      </c>
      <c r="J255" s="1" t="s">
        <v>875</v>
      </c>
      <c r="K255" s="1" t="s">
        <v>811</v>
      </c>
      <c r="L255" s="1"/>
      <c r="M255" s="1" t="s">
        <v>529</v>
      </c>
      <c r="N255" s="6">
        <f>IFERROR(__xludf.DUMMYFUNCTION("IF(REGEXMATCH(A255, ""^00-""), 0, IF(AND(EQ(F255, """"), EQ(G255, """")), 1, 0))"),0.0)</f>
        <v>0</v>
      </c>
      <c r="O255" s="6">
        <f>IFERROR(__xludf.DUMMYFUNCTION("IF(REGEXMATCH(A255, ""^00-""), 0, IF(AND(NE(F255, """"), EQ(G255, """")), 1, 0))"),0.0)</f>
        <v>0</v>
      </c>
      <c r="P255" s="6">
        <f>IFERROR(__xludf.DUMMYFUNCTION("IF(REGEXMATCH(A255, ""^00-""), 0, IF(AND(EQ(F255, """"), NE(G255, """")), 1, 0))"),1.0)</f>
        <v>1</v>
      </c>
      <c r="Q255" s="6">
        <f>IFERROR(__xludf.DUMMYFUNCTION("IF(REGEXMATCH(A255, ""^00-""), 0, IF(AND(NE(F255, """"), NE(G255, """")), 1, 0))"),0.0)</f>
        <v>0</v>
      </c>
      <c r="R255" s="6">
        <f t="shared" si="1"/>
        <v>1</v>
      </c>
    </row>
    <row r="256">
      <c r="A256" s="1" t="s">
        <v>42</v>
      </c>
      <c r="B256" s="1" t="s">
        <v>883</v>
      </c>
      <c r="C256" s="1">
        <v>3363.0</v>
      </c>
      <c r="D256" s="1">
        <v>7405.0</v>
      </c>
      <c r="E256" s="1">
        <v>10768.0</v>
      </c>
      <c r="F256" s="1" t="s">
        <v>884</v>
      </c>
      <c r="G256" s="1" t="s">
        <v>885</v>
      </c>
      <c r="H256" s="1" t="s">
        <v>182</v>
      </c>
      <c r="I256" s="1" t="s">
        <v>172</v>
      </c>
      <c r="J256" s="1" t="s">
        <v>875</v>
      </c>
      <c r="K256" s="1" t="s">
        <v>811</v>
      </c>
      <c r="L256" s="1"/>
      <c r="M256" s="1" t="s">
        <v>257</v>
      </c>
      <c r="N256" s="6">
        <f>IFERROR(__xludf.DUMMYFUNCTION("IF(REGEXMATCH(A256, ""^00-""), 0, IF(AND(EQ(F256, """"), EQ(G256, """")), 1, 0))"),0.0)</f>
        <v>0</v>
      </c>
      <c r="O256" s="6">
        <f>IFERROR(__xludf.DUMMYFUNCTION("IF(REGEXMATCH(A256, ""^00-""), 0, IF(AND(NE(F256, """"), EQ(G256, """")), 1, 0))"),0.0)</f>
        <v>0</v>
      </c>
      <c r="P256" s="6">
        <f>IFERROR(__xludf.DUMMYFUNCTION("IF(REGEXMATCH(A256, ""^00-""), 0, IF(AND(EQ(F256, """"), NE(G256, """")), 1, 0))"),0.0)</f>
        <v>0</v>
      </c>
      <c r="Q256" s="6">
        <f>IFERROR(__xludf.DUMMYFUNCTION("IF(REGEXMATCH(A256, ""^00-""), 0, IF(AND(NE(F256, """"), NE(G256, """")), 1, 0))"),1.0)</f>
        <v>1</v>
      </c>
      <c r="R256" s="6">
        <f t="shared" si="1"/>
        <v>1</v>
      </c>
    </row>
    <row r="257">
      <c r="A257" s="1" t="s">
        <v>42</v>
      </c>
      <c r="B257" s="1" t="s">
        <v>886</v>
      </c>
      <c r="C257" s="1">
        <v>3365.0</v>
      </c>
      <c r="D257" s="1">
        <v>7403.0</v>
      </c>
      <c r="E257" s="1">
        <v>10768.0</v>
      </c>
      <c r="F257" s="1" t="s">
        <v>887</v>
      </c>
      <c r="G257" s="1" t="s">
        <v>888</v>
      </c>
      <c r="H257" s="1" t="s">
        <v>182</v>
      </c>
      <c r="I257" s="1" t="s">
        <v>172</v>
      </c>
      <c r="J257" s="1" t="s">
        <v>875</v>
      </c>
      <c r="K257" s="1" t="s">
        <v>811</v>
      </c>
      <c r="L257" s="1"/>
      <c r="M257" s="1" t="s">
        <v>257</v>
      </c>
      <c r="N257" s="6">
        <f>IFERROR(__xludf.DUMMYFUNCTION("IF(REGEXMATCH(A257, ""^00-""), 0, IF(AND(EQ(F257, """"), EQ(G257, """")), 1, 0))"),0.0)</f>
        <v>0</v>
      </c>
      <c r="O257" s="6">
        <f>IFERROR(__xludf.DUMMYFUNCTION("IF(REGEXMATCH(A257, ""^00-""), 0, IF(AND(NE(F257, """"), EQ(G257, """")), 1, 0))"),0.0)</f>
        <v>0</v>
      </c>
      <c r="P257" s="6">
        <f>IFERROR(__xludf.DUMMYFUNCTION("IF(REGEXMATCH(A257, ""^00-""), 0, IF(AND(EQ(F257, """"), NE(G257, """")), 1, 0))"),0.0)</f>
        <v>0</v>
      </c>
      <c r="Q257" s="6">
        <f>IFERROR(__xludf.DUMMYFUNCTION("IF(REGEXMATCH(A257, ""^00-""), 0, IF(AND(NE(F257, """"), NE(G257, """")), 1, 0))"),1.0)</f>
        <v>1</v>
      </c>
      <c r="R257" s="6">
        <f t="shared" si="1"/>
        <v>1</v>
      </c>
    </row>
    <row r="258">
      <c r="A258" s="1" t="s">
        <v>42</v>
      </c>
      <c r="B258" s="1" t="s">
        <v>889</v>
      </c>
      <c r="C258" s="1">
        <v>3354.0</v>
      </c>
      <c r="D258" s="1">
        <v>7414.0</v>
      </c>
      <c r="E258" s="1">
        <v>10768.0</v>
      </c>
      <c r="F258" s="1" t="s">
        <v>890</v>
      </c>
      <c r="G258" s="1" t="s">
        <v>891</v>
      </c>
      <c r="H258" s="1" t="s">
        <v>182</v>
      </c>
      <c r="I258" s="1" t="s">
        <v>172</v>
      </c>
      <c r="J258" s="1" t="s">
        <v>875</v>
      </c>
      <c r="K258" s="1" t="s">
        <v>811</v>
      </c>
      <c r="L258" s="1"/>
      <c r="M258" s="1" t="s">
        <v>257</v>
      </c>
      <c r="N258" s="6">
        <f>IFERROR(__xludf.DUMMYFUNCTION("IF(REGEXMATCH(A258, ""^00-""), 0, IF(AND(EQ(F258, """"), EQ(G258, """")), 1, 0))"),0.0)</f>
        <v>0</v>
      </c>
      <c r="O258" s="6">
        <f>IFERROR(__xludf.DUMMYFUNCTION("IF(REGEXMATCH(A258, ""^00-""), 0, IF(AND(NE(F258, """"), EQ(G258, """")), 1, 0))"),0.0)</f>
        <v>0</v>
      </c>
      <c r="P258" s="6">
        <f>IFERROR(__xludf.DUMMYFUNCTION("IF(REGEXMATCH(A258, ""^00-""), 0, IF(AND(EQ(F258, """"), NE(G258, """")), 1, 0))"),0.0)</f>
        <v>0</v>
      </c>
      <c r="Q258" s="6">
        <f>IFERROR(__xludf.DUMMYFUNCTION("IF(REGEXMATCH(A258, ""^00-""), 0, IF(AND(NE(F258, """"), NE(G258, """")), 1, 0))"),1.0)</f>
        <v>1</v>
      </c>
      <c r="R258" s="6">
        <f t="shared" si="1"/>
        <v>1</v>
      </c>
    </row>
    <row r="259">
      <c r="A259" s="1" t="s">
        <v>42</v>
      </c>
      <c r="B259" s="1" t="s">
        <v>892</v>
      </c>
      <c r="C259" s="1">
        <v>3277.0</v>
      </c>
      <c r="D259" s="1">
        <v>7491.0</v>
      </c>
      <c r="E259" s="1">
        <v>10768.0</v>
      </c>
      <c r="F259" s="1" t="s">
        <v>893</v>
      </c>
      <c r="G259" s="1" t="s">
        <v>894</v>
      </c>
      <c r="H259" s="1" t="s">
        <v>182</v>
      </c>
      <c r="I259" s="1" t="s">
        <v>172</v>
      </c>
      <c r="J259" s="1" t="s">
        <v>875</v>
      </c>
      <c r="K259" s="1" t="s">
        <v>811</v>
      </c>
      <c r="L259" s="1"/>
      <c r="M259" s="1" t="s">
        <v>257</v>
      </c>
      <c r="N259" s="6">
        <f>IFERROR(__xludf.DUMMYFUNCTION("IF(REGEXMATCH(A259, ""^00-""), 0, IF(AND(EQ(F259, """"), EQ(G259, """")), 1, 0))"),0.0)</f>
        <v>0</v>
      </c>
      <c r="O259" s="6">
        <f>IFERROR(__xludf.DUMMYFUNCTION("IF(REGEXMATCH(A259, ""^00-""), 0, IF(AND(NE(F259, """"), EQ(G259, """")), 1, 0))"),0.0)</f>
        <v>0</v>
      </c>
      <c r="P259" s="6">
        <f>IFERROR(__xludf.DUMMYFUNCTION("IF(REGEXMATCH(A259, ""^00-""), 0, IF(AND(EQ(F259, """"), NE(G259, """")), 1, 0))"),0.0)</f>
        <v>0</v>
      </c>
      <c r="Q259" s="6">
        <f>IFERROR(__xludf.DUMMYFUNCTION("IF(REGEXMATCH(A259, ""^00-""), 0, IF(AND(NE(F259, """"), NE(G259, """")), 1, 0))"),1.0)</f>
        <v>1</v>
      </c>
      <c r="R259" s="6">
        <f t="shared" si="1"/>
        <v>1</v>
      </c>
    </row>
    <row r="260">
      <c r="A260" s="1" t="s">
        <v>42</v>
      </c>
      <c r="B260" s="1" t="s">
        <v>895</v>
      </c>
      <c r="C260" s="1">
        <v>3219.0</v>
      </c>
      <c r="D260" s="1">
        <v>7549.0</v>
      </c>
      <c r="E260" s="1">
        <v>10768.0</v>
      </c>
      <c r="F260" s="1" t="s">
        <v>896</v>
      </c>
      <c r="G260" s="1" t="s">
        <v>897</v>
      </c>
      <c r="H260" s="1" t="s">
        <v>182</v>
      </c>
      <c r="I260" s="1" t="s">
        <v>172</v>
      </c>
      <c r="J260" s="1" t="s">
        <v>875</v>
      </c>
      <c r="K260" s="1" t="s">
        <v>811</v>
      </c>
      <c r="L260" s="1"/>
      <c r="M260" s="1" t="s">
        <v>257</v>
      </c>
      <c r="N260" s="6">
        <f>IFERROR(__xludf.DUMMYFUNCTION("IF(REGEXMATCH(A260, ""^00-""), 0, IF(AND(EQ(F260, """"), EQ(G260, """")), 1, 0))"),0.0)</f>
        <v>0</v>
      </c>
      <c r="O260" s="6">
        <f>IFERROR(__xludf.DUMMYFUNCTION("IF(REGEXMATCH(A260, ""^00-""), 0, IF(AND(NE(F260, """"), EQ(G260, """")), 1, 0))"),0.0)</f>
        <v>0</v>
      </c>
      <c r="P260" s="6">
        <f>IFERROR(__xludf.DUMMYFUNCTION("IF(REGEXMATCH(A260, ""^00-""), 0, IF(AND(EQ(F260, """"), NE(G260, """")), 1, 0))"),0.0)</f>
        <v>0</v>
      </c>
      <c r="Q260" s="6">
        <f>IFERROR(__xludf.DUMMYFUNCTION("IF(REGEXMATCH(A260, ""^00-""), 0, IF(AND(NE(F260, """"), NE(G260, """")), 1, 0))"),1.0)</f>
        <v>1</v>
      </c>
      <c r="R260" s="6">
        <f t="shared" si="1"/>
        <v>1</v>
      </c>
    </row>
    <row r="261">
      <c r="A261" s="1" t="s">
        <v>42</v>
      </c>
      <c r="B261" s="1" t="s">
        <v>898</v>
      </c>
      <c r="C261" s="1">
        <v>3334.0</v>
      </c>
      <c r="D261" s="1">
        <v>7434.0</v>
      </c>
      <c r="E261" s="1">
        <v>10768.0</v>
      </c>
      <c r="F261" s="1"/>
      <c r="G261" s="1" t="s">
        <v>899</v>
      </c>
      <c r="H261" s="1" t="s">
        <v>182</v>
      </c>
      <c r="I261" s="1" t="s">
        <v>172</v>
      </c>
      <c r="J261" s="1" t="s">
        <v>875</v>
      </c>
      <c r="K261" s="1" t="s">
        <v>811</v>
      </c>
      <c r="L261" s="1"/>
      <c r="M261" s="1" t="s">
        <v>257</v>
      </c>
      <c r="N261" s="6">
        <f>IFERROR(__xludf.DUMMYFUNCTION("IF(REGEXMATCH(A261, ""^00-""), 0, IF(AND(EQ(F261, """"), EQ(G261, """")), 1, 0))"),0.0)</f>
        <v>0</v>
      </c>
      <c r="O261" s="6">
        <f>IFERROR(__xludf.DUMMYFUNCTION("IF(REGEXMATCH(A261, ""^00-""), 0, IF(AND(NE(F261, """"), EQ(G261, """")), 1, 0))"),0.0)</f>
        <v>0</v>
      </c>
      <c r="P261" s="6">
        <f>IFERROR(__xludf.DUMMYFUNCTION("IF(REGEXMATCH(A261, ""^00-""), 0, IF(AND(EQ(F261, """"), NE(G261, """")), 1, 0))"),1.0)</f>
        <v>1</v>
      </c>
      <c r="Q261" s="6">
        <f>IFERROR(__xludf.DUMMYFUNCTION("IF(REGEXMATCH(A261, ""^00-""), 0, IF(AND(NE(F261, """"), NE(G261, """")), 1, 0))"),0.0)</f>
        <v>0</v>
      </c>
      <c r="R261" s="6">
        <f t="shared" si="1"/>
        <v>1</v>
      </c>
    </row>
    <row r="262">
      <c r="A262" s="1" t="s">
        <v>42</v>
      </c>
      <c r="B262" s="1" t="s">
        <v>900</v>
      </c>
      <c r="C262" s="1">
        <v>3336.0</v>
      </c>
      <c r="D262" s="1">
        <v>7432.0</v>
      </c>
      <c r="E262" s="1">
        <v>10768.0</v>
      </c>
      <c r="F262" s="1"/>
      <c r="G262" s="1" t="s">
        <v>901</v>
      </c>
      <c r="H262" s="1" t="s">
        <v>182</v>
      </c>
      <c r="I262" s="1" t="s">
        <v>172</v>
      </c>
      <c r="J262" s="1" t="s">
        <v>875</v>
      </c>
      <c r="K262" s="1" t="s">
        <v>811</v>
      </c>
      <c r="L262" s="1"/>
      <c r="M262" s="1" t="s">
        <v>257</v>
      </c>
      <c r="N262" s="6">
        <f>IFERROR(__xludf.DUMMYFUNCTION("IF(REGEXMATCH(A262, ""^00-""), 0, IF(AND(EQ(F262, """"), EQ(G262, """")), 1, 0))"),0.0)</f>
        <v>0</v>
      </c>
      <c r="O262" s="6">
        <f>IFERROR(__xludf.DUMMYFUNCTION("IF(REGEXMATCH(A262, ""^00-""), 0, IF(AND(NE(F262, """"), EQ(G262, """")), 1, 0))"),0.0)</f>
        <v>0</v>
      </c>
      <c r="P262" s="6">
        <f>IFERROR(__xludf.DUMMYFUNCTION("IF(REGEXMATCH(A262, ""^00-""), 0, IF(AND(EQ(F262, """"), NE(G262, """")), 1, 0))"),1.0)</f>
        <v>1</v>
      </c>
      <c r="Q262" s="6">
        <f>IFERROR(__xludf.DUMMYFUNCTION("IF(REGEXMATCH(A262, ""^00-""), 0, IF(AND(NE(F262, """"), NE(G262, """")), 1, 0))"),0.0)</f>
        <v>0</v>
      </c>
      <c r="R262" s="6">
        <f t="shared" si="1"/>
        <v>1</v>
      </c>
    </row>
    <row r="263">
      <c r="A263" s="1" t="s">
        <v>42</v>
      </c>
      <c r="B263" s="1" t="s">
        <v>902</v>
      </c>
      <c r="C263" s="1">
        <v>3291.0</v>
      </c>
      <c r="D263" s="1">
        <v>7477.0</v>
      </c>
      <c r="E263" s="1">
        <v>10768.0</v>
      </c>
      <c r="F263" s="1"/>
      <c r="G263" s="1" t="s">
        <v>903</v>
      </c>
      <c r="H263" s="1" t="s">
        <v>182</v>
      </c>
      <c r="I263" s="1" t="s">
        <v>172</v>
      </c>
      <c r="J263" s="1" t="s">
        <v>875</v>
      </c>
      <c r="K263" s="1" t="s">
        <v>811</v>
      </c>
      <c r="L263" s="1"/>
      <c r="M263" s="1" t="s">
        <v>257</v>
      </c>
      <c r="N263" s="6">
        <f>IFERROR(__xludf.DUMMYFUNCTION("IF(REGEXMATCH(A263, ""^00-""), 0, IF(AND(EQ(F263, """"), EQ(G263, """")), 1, 0))"),0.0)</f>
        <v>0</v>
      </c>
      <c r="O263" s="6">
        <f>IFERROR(__xludf.DUMMYFUNCTION("IF(REGEXMATCH(A263, ""^00-""), 0, IF(AND(NE(F263, """"), EQ(G263, """")), 1, 0))"),0.0)</f>
        <v>0</v>
      </c>
      <c r="P263" s="6">
        <f>IFERROR(__xludf.DUMMYFUNCTION("IF(REGEXMATCH(A263, ""^00-""), 0, IF(AND(EQ(F263, """"), NE(G263, """")), 1, 0))"),1.0)</f>
        <v>1</v>
      </c>
      <c r="Q263" s="6">
        <f>IFERROR(__xludf.DUMMYFUNCTION("IF(REGEXMATCH(A263, ""^00-""), 0, IF(AND(NE(F263, """"), NE(G263, """")), 1, 0))"),0.0)</f>
        <v>0</v>
      </c>
      <c r="R263" s="6">
        <f t="shared" si="1"/>
        <v>1</v>
      </c>
    </row>
    <row r="264">
      <c r="A264" s="1" t="s">
        <v>42</v>
      </c>
      <c r="B264" s="1" t="s">
        <v>904</v>
      </c>
      <c r="C264" s="1">
        <v>2748.0</v>
      </c>
      <c r="D264" s="1">
        <v>8020.0</v>
      </c>
      <c r="E264" s="1">
        <v>10768.0</v>
      </c>
      <c r="F264" s="1"/>
      <c r="G264" s="1" t="s">
        <v>905</v>
      </c>
      <c r="H264" s="1" t="s">
        <v>182</v>
      </c>
      <c r="I264" s="1" t="s">
        <v>172</v>
      </c>
      <c r="J264" s="1" t="s">
        <v>875</v>
      </c>
      <c r="K264" s="1" t="s">
        <v>811</v>
      </c>
      <c r="L264" s="1"/>
      <c r="M264" s="1" t="s">
        <v>257</v>
      </c>
      <c r="N264" s="6">
        <f>IFERROR(__xludf.DUMMYFUNCTION("IF(REGEXMATCH(A264, ""^00-""), 0, IF(AND(EQ(F264, """"), EQ(G264, """")), 1, 0))"),0.0)</f>
        <v>0</v>
      </c>
      <c r="O264" s="6">
        <f>IFERROR(__xludf.DUMMYFUNCTION("IF(REGEXMATCH(A264, ""^00-""), 0, IF(AND(NE(F264, """"), EQ(G264, """")), 1, 0))"),0.0)</f>
        <v>0</v>
      </c>
      <c r="P264" s="6">
        <f>IFERROR(__xludf.DUMMYFUNCTION("IF(REGEXMATCH(A264, ""^00-""), 0, IF(AND(EQ(F264, """"), NE(G264, """")), 1, 0))"),1.0)</f>
        <v>1</v>
      </c>
      <c r="Q264" s="6">
        <f>IFERROR(__xludf.DUMMYFUNCTION("IF(REGEXMATCH(A264, ""^00-""), 0, IF(AND(NE(F264, """"), NE(G264, """")), 1, 0))"),0.0)</f>
        <v>0</v>
      </c>
      <c r="R264" s="6">
        <f t="shared" si="1"/>
        <v>1</v>
      </c>
    </row>
    <row r="265">
      <c r="A265" s="1" t="s">
        <v>42</v>
      </c>
      <c r="B265" s="1" t="s">
        <v>906</v>
      </c>
      <c r="C265" s="1">
        <v>2674.0</v>
      </c>
      <c r="D265" s="1">
        <v>8094.0</v>
      </c>
      <c r="E265" s="1">
        <v>10768.0</v>
      </c>
      <c r="F265" s="1"/>
      <c r="G265" s="1" t="s">
        <v>907</v>
      </c>
      <c r="H265" s="1" t="s">
        <v>182</v>
      </c>
      <c r="I265" s="1" t="s">
        <v>172</v>
      </c>
      <c r="J265" s="1" t="s">
        <v>875</v>
      </c>
      <c r="K265" s="1" t="s">
        <v>811</v>
      </c>
      <c r="L265" s="1"/>
      <c r="M265" s="1" t="s">
        <v>257</v>
      </c>
      <c r="N265" s="6">
        <f>IFERROR(__xludf.DUMMYFUNCTION("IF(REGEXMATCH(A265, ""^00-""), 0, IF(AND(EQ(F265, """"), EQ(G265, """")), 1, 0))"),0.0)</f>
        <v>0</v>
      </c>
      <c r="O265" s="6">
        <f>IFERROR(__xludf.DUMMYFUNCTION("IF(REGEXMATCH(A265, ""^00-""), 0, IF(AND(NE(F265, """"), EQ(G265, """")), 1, 0))"),0.0)</f>
        <v>0</v>
      </c>
      <c r="P265" s="6">
        <f>IFERROR(__xludf.DUMMYFUNCTION("IF(REGEXMATCH(A265, ""^00-""), 0, IF(AND(EQ(F265, """"), NE(G265, """")), 1, 0))"),1.0)</f>
        <v>1</v>
      </c>
      <c r="Q265" s="6">
        <f>IFERROR(__xludf.DUMMYFUNCTION("IF(REGEXMATCH(A265, ""^00-""), 0, IF(AND(NE(F265, """"), NE(G265, """")), 1, 0))"),0.0)</f>
        <v>0</v>
      </c>
      <c r="R265" s="6">
        <f t="shared" si="1"/>
        <v>1</v>
      </c>
    </row>
    <row r="266">
      <c r="A266" s="1" t="s">
        <v>44</v>
      </c>
      <c r="B266" s="1" t="s">
        <v>908</v>
      </c>
      <c r="C266" s="1">
        <v>1944.0</v>
      </c>
      <c r="D266" s="1">
        <v>798.0</v>
      </c>
      <c r="E266" s="1">
        <v>2742.0</v>
      </c>
      <c r="F266" s="1"/>
      <c r="G266" s="1" t="s">
        <v>909</v>
      </c>
      <c r="H266" s="1" t="s">
        <v>190</v>
      </c>
      <c r="I266" s="1" t="s">
        <v>172</v>
      </c>
      <c r="J266" s="1" t="s">
        <v>910</v>
      </c>
      <c r="K266" s="1" t="s">
        <v>811</v>
      </c>
      <c r="L266" s="1"/>
      <c r="M266" s="1" t="s">
        <v>191</v>
      </c>
      <c r="N266" s="6">
        <f>IFERROR(__xludf.DUMMYFUNCTION("IF(REGEXMATCH(A266, ""^00-""), 0, IF(AND(EQ(F266, """"), EQ(G266, """")), 1, 0))"),0.0)</f>
        <v>0</v>
      </c>
      <c r="O266" s="6">
        <f>IFERROR(__xludf.DUMMYFUNCTION("IF(REGEXMATCH(A266, ""^00-""), 0, IF(AND(NE(F266, """"), EQ(G266, """")), 1, 0))"),0.0)</f>
        <v>0</v>
      </c>
      <c r="P266" s="6">
        <f>IFERROR(__xludf.DUMMYFUNCTION("IF(REGEXMATCH(A266, ""^00-""), 0, IF(AND(EQ(F266, """"), NE(G266, """")), 1, 0))"),1.0)</f>
        <v>1</v>
      </c>
      <c r="Q266" s="6">
        <f>IFERROR(__xludf.DUMMYFUNCTION("IF(REGEXMATCH(A266, ""^00-""), 0, IF(AND(NE(F266, """"), NE(G266, """")), 1, 0))"),0.0)</f>
        <v>0</v>
      </c>
      <c r="R266" s="6">
        <f t="shared" si="1"/>
        <v>1</v>
      </c>
    </row>
    <row r="267">
      <c r="A267" s="1" t="s">
        <v>44</v>
      </c>
      <c r="B267" s="1" t="s">
        <v>911</v>
      </c>
      <c r="C267" s="1">
        <v>2742.0</v>
      </c>
      <c r="D267" s="1">
        <v>0.0</v>
      </c>
      <c r="E267" s="1">
        <v>2742.0</v>
      </c>
      <c r="F267" s="1" t="s">
        <v>912</v>
      </c>
      <c r="G267" s="1"/>
      <c r="H267" s="1" t="s">
        <v>182</v>
      </c>
      <c r="I267" s="1" t="s">
        <v>172</v>
      </c>
      <c r="J267" s="1" t="s">
        <v>910</v>
      </c>
      <c r="K267" s="1" t="s">
        <v>811</v>
      </c>
      <c r="L267" s="1"/>
      <c r="M267" s="1" t="s">
        <v>185</v>
      </c>
      <c r="N267" s="6">
        <f>IFERROR(__xludf.DUMMYFUNCTION("IF(REGEXMATCH(A267, ""^00-""), 0, IF(AND(EQ(F267, """"), EQ(G267, """")), 1, 0))"),0.0)</f>
        <v>0</v>
      </c>
      <c r="O267" s="6">
        <f>IFERROR(__xludf.DUMMYFUNCTION("IF(REGEXMATCH(A267, ""^00-""), 0, IF(AND(NE(F267, """"), EQ(G267, """")), 1, 0))"),1.0)</f>
        <v>1</v>
      </c>
      <c r="P267" s="6">
        <f>IFERROR(__xludf.DUMMYFUNCTION("IF(REGEXMATCH(A267, ""^00-""), 0, IF(AND(EQ(F267, """"), NE(G267, """")), 1, 0))"),0.0)</f>
        <v>0</v>
      </c>
      <c r="Q267" s="6">
        <f>IFERROR(__xludf.DUMMYFUNCTION("IF(REGEXMATCH(A267, ""^00-""), 0, IF(AND(NE(F267, """"), NE(G267, """")), 1, 0))"),0.0)</f>
        <v>0</v>
      </c>
      <c r="R267" s="6">
        <f t="shared" si="1"/>
        <v>1</v>
      </c>
    </row>
    <row r="268">
      <c r="A268" s="1" t="s">
        <v>44</v>
      </c>
      <c r="B268" s="1" t="s">
        <v>913</v>
      </c>
      <c r="C268" s="1">
        <v>2604.0</v>
      </c>
      <c r="D268" s="1">
        <v>138.0</v>
      </c>
      <c r="E268" s="1">
        <v>2742.0</v>
      </c>
      <c r="F268" s="1" t="s">
        <v>914</v>
      </c>
      <c r="G268" s="1" t="s">
        <v>851</v>
      </c>
      <c r="H268" s="1" t="s">
        <v>250</v>
      </c>
      <c r="I268" s="1" t="s">
        <v>172</v>
      </c>
      <c r="J268" s="1" t="s">
        <v>910</v>
      </c>
      <c r="K268" s="1" t="s">
        <v>811</v>
      </c>
      <c r="L268" s="1"/>
      <c r="M268" s="1" t="s">
        <v>250</v>
      </c>
      <c r="N268" s="6">
        <f>IFERROR(__xludf.DUMMYFUNCTION("IF(REGEXMATCH(A268, ""^00-""), 0, IF(AND(EQ(F268, """"), EQ(G268, """")), 1, 0))"),0.0)</f>
        <v>0</v>
      </c>
      <c r="O268" s="6">
        <f>IFERROR(__xludf.DUMMYFUNCTION("IF(REGEXMATCH(A268, ""^00-""), 0, IF(AND(NE(F268, """"), EQ(G268, """")), 1, 0))"),0.0)</f>
        <v>0</v>
      </c>
      <c r="P268" s="6">
        <f>IFERROR(__xludf.DUMMYFUNCTION("IF(REGEXMATCH(A268, ""^00-""), 0, IF(AND(EQ(F268, """"), NE(G268, """")), 1, 0))"),0.0)</f>
        <v>0</v>
      </c>
      <c r="Q268" s="6">
        <f>IFERROR(__xludf.DUMMYFUNCTION("IF(REGEXMATCH(A268, ""^00-""), 0, IF(AND(NE(F268, """"), NE(G268, """")), 1, 0))"),1.0)</f>
        <v>1</v>
      </c>
      <c r="R268" s="6">
        <f t="shared" si="1"/>
        <v>1</v>
      </c>
    </row>
    <row r="269">
      <c r="A269" s="1" t="s">
        <v>44</v>
      </c>
      <c r="B269" s="1" t="s">
        <v>915</v>
      </c>
      <c r="C269" s="1">
        <v>2538.0</v>
      </c>
      <c r="D269" s="1">
        <v>204.0</v>
      </c>
      <c r="E269" s="1">
        <v>2742.0</v>
      </c>
      <c r="F269" s="1" t="s">
        <v>916</v>
      </c>
      <c r="G269" s="1" t="s">
        <v>854</v>
      </c>
      <c r="H269" s="1" t="s">
        <v>254</v>
      </c>
      <c r="I269" s="1" t="s">
        <v>172</v>
      </c>
      <c r="J269" s="1" t="s">
        <v>910</v>
      </c>
      <c r="K269" s="1" t="s">
        <v>811</v>
      </c>
      <c r="L269" s="1"/>
      <c r="M269" s="1" t="s">
        <v>254</v>
      </c>
      <c r="N269" s="6">
        <f>IFERROR(__xludf.DUMMYFUNCTION("IF(REGEXMATCH(A269, ""^00-""), 0, IF(AND(EQ(F269, """"), EQ(G269, """")), 1, 0))"),0.0)</f>
        <v>0</v>
      </c>
      <c r="O269" s="6">
        <f>IFERROR(__xludf.DUMMYFUNCTION("IF(REGEXMATCH(A269, ""^00-""), 0, IF(AND(NE(F269, """"), EQ(G269, """")), 1, 0))"),0.0)</f>
        <v>0</v>
      </c>
      <c r="P269" s="6">
        <f>IFERROR(__xludf.DUMMYFUNCTION("IF(REGEXMATCH(A269, ""^00-""), 0, IF(AND(EQ(F269, """"), NE(G269, """")), 1, 0))"),0.0)</f>
        <v>0</v>
      </c>
      <c r="Q269" s="6">
        <f>IFERROR(__xludf.DUMMYFUNCTION("IF(REGEXMATCH(A269, ""^00-""), 0, IF(AND(NE(F269, """"), NE(G269, """")), 1, 0))"),1.0)</f>
        <v>1</v>
      </c>
      <c r="R269" s="6">
        <f t="shared" si="1"/>
        <v>1</v>
      </c>
    </row>
    <row r="270">
      <c r="A270" s="1" t="s">
        <v>44</v>
      </c>
      <c r="B270" s="1" t="s">
        <v>917</v>
      </c>
      <c r="C270" s="1">
        <v>1693.0</v>
      </c>
      <c r="D270" s="1">
        <v>1049.0</v>
      </c>
      <c r="E270" s="1">
        <v>2742.0</v>
      </c>
      <c r="F270" s="1" t="s">
        <v>918</v>
      </c>
      <c r="G270" s="1" t="s">
        <v>919</v>
      </c>
      <c r="H270" s="1" t="s">
        <v>182</v>
      </c>
      <c r="I270" s="1" t="s">
        <v>172</v>
      </c>
      <c r="J270" s="1" t="s">
        <v>910</v>
      </c>
      <c r="K270" s="1" t="s">
        <v>811</v>
      </c>
      <c r="L270" s="1"/>
      <c r="M270" s="1" t="s">
        <v>257</v>
      </c>
      <c r="N270" s="6">
        <f>IFERROR(__xludf.DUMMYFUNCTION("IF(REGEXMATCH(A270, ""^00-""), 0, IF(AND(EQ(F270, """"), EQ(G270, """")), 1, 0))"),0.0)</f>
        <v>0</v>
      </c>
      <c r="O270" s="6">
        <f>IFERROR(__xludf.DUMMYFUNCTION("IF(REGEXMATCH(A270, ""^00-""), 0, IF(AND(NE(F270, """"), EQ(G270, """")), 1, 0))"),0.0)</f>
        <v>0</v>
      </c>
      <c r="P270" s="6">
        <f>IFERROR(__xludf.DUMMYFUNCTION("IF(REGEXMATCH(A270, ""^00-""), 0, IF(AND(EQ(F270, """"), NE(G270, """")), 1, 0))"),0.0)</f>
        <v>0</v>
      </c>
      <c r="Q270" s="6">
        <f>IFERROR(__xludf.DUMMYFUNCTION("IF(REGEXMATCH(A270, ""^00-""), 0, IF(AND(NE(F270, """"), NE(G270, """")), 1, 0))"),1.0)</f>
        <v>1</v>
      </c>
      <c r="R270" s="6">
        <f t="shared" si="1"/>
        <v>1</v>
      </c>
    </row>
    <row r="271">
      <c r="A271" s="1" t="s">
        <v>44</v>
      </c>
      <c r="B271" s="1" t="s">
        <v>920</v>
      </c>
      <c r="C271" s="1">
        <v>1815.0</v>
      </c>
      <c r="D271" s="1">
        <v>927.0</v>
      </c>
      <c r="E271" s="1">
        <v>2742.0</v>
      </c>
      <c r="F271" s="1" t="s">
        <v>921</v>
      </c>
      <c r="G271" s="1" t="s">
        <v>922</v>
      </c>
      <c r="H271" s="1" t="s">
        <v>182</v>
      </c>
      <c r="I271" s="1" t="s">
        <v>172</v>
      </c>
      <c r="J271" s="1" t="s">
        <v>910</v>
      </c>
      <c r="K271" s="1" t="s">
        <v>811</v>
      </c>
      <c r="L271" s="1"/>
      <c r="M271" s="1" t="s">
        <v>257</v>
      </c>
      <c r="N271" s="6">
        <f>IFERROR(__xludf.DUMMYFUNCTION("IF(REGEXMATCH(A271, ""^00-""), 0, IF(AND(EQ(F271, """"), EQ(G271, """")), 1, 0))"),0.0)</f>
        <v>0</v>
      </c>
      <c r="O271" s="6">
        <f>IFERROR(__xludf.DUMMYFUNCTION("IF(REGEXMATCH(A271, ""^00-""), 0, IF(AND(NE(F271, """"), EQ(G271, """")), 1, 0))"),0.0)</f>
        <v>0</v>
      </c>
      <c r="P271" s="6">
        <f>IFERROR(__xludf.DUMMYFUNCTION("IF(REGEXMATCH(A271, ""^00-""), 0, IF(AND(EQ(F271, """"), NE(G271, """")), 1, 0))"),0.0)</f>
        <v>0</v>
      </c>
      <c r="Q271" s="6">
        <f>IFERROR(__xludf.DUMMYFUNCTION("IF(REGEXMATCH(A271, ""^00-""), 0, IF(AND(NE(F271, """"), NE(G271, """")), 1, 0))"),1.0)</f>
        <v>1</v>
      </c>
      <c r="R271" s="6">
        <f t="shared" si="1"/>
        <v>1</v>
      </c>
    </row>
    <row r="272">
      <c r="A272" s="1" t="s">
        <v>44</v>
      </c>
      <c r="B272" s="1" t="s">
        <v>923</v>
      </c>
      <c r="C272" s="1">
        <v>1467.0</v>
      </c>
      <c r="D272" s="1">
        <v>1275.0</v>
      </c>
      <c r="E272" s="1">
        <v>2742.0</v>
      </c>
      <c r="F272" s="1" t="s">
        <v>924</v>
      </c>
      <c r="G272" s="1" t="s">
        <v>925</v>
      </c>
      <c r="H272" s="1" t="s">
        <v>182</v>
      </c>
      <c r="I272" s="1" t="s">
        <v>172</v>
      </c>
      <c r="J272" s="1" t="s">
        <v>910</v>
      </c>
      <c r="K272" s="1" t="s">
        <v>811</v>
      </c>
      <c r="L272" s="1"/>
      <c r="M272" s="1" t="s">
        <v>257</v>
      </c>
      <c r="N272" s="6">
        <f>IFERROR(__xludf.DUMMYFUNCTION("IF(REGEXMATCH(A272, ""^00-""), 0, IF(AND(EQ(F272, """"), EQ(G272, """")), 1, 0))"),0.0)</f>
        <v>0</v>
      </c>
      <c r="O272" s="6">
        <f>IFERROR(__xludf.DUMMYFUNCTION("IF(REGEXMATCH(A272, ""^00-""), 0, IF(AND(NE(F272, """"), EQ(G272, """")), 1, 0))"),0.0)</f>
        <v>0</v>
      </c>
      <c r="P272" s="6">
        <f>IFERROR(__xludf.DUMMYFUNCTION("IF(REGEXMATCH(A272, ""^00-""), 0, IF(AND(EQ(F272, """"), NE(G272, """")), 1, 0))"),0.0)</f>
        <v>0</v>
      </c>
      <c r="Q272" s="6">
        <f>IFERROR(__xludf.DUMMYFUNCTION("IF(REGEXMATCH(A272, ""^00-""), 0, IF(AND(NE(F272, """"), NE(G272, """")), 1, 0))"),1.0)</f>
        <v>1</v>
      </c>
      <c r="R272" s="6">
        <f t="shared" si="1"/>
        <v>1</v>
      </c>
    </row>
    <row r="273">
      <c r="A273" s="1" t="s">
        <v>44</v>
      </c>
      <c r="B273" s="1" t="s">
        <v>926</v>
      </c>
      <c r="C273" s="1">
        <v>1488.0</v>
      </c>
      <c r="D273" s="1">
        <v>1254.0</v>
      </c>
      <c r="E273" s="1">
        <v>2742.0</v>
      </c>
      <c r="F273" s="1" t="s">
        <v>927</v>
      </c>
      <c r="G273" s="1" t="s">
        <v>928</v>
      </c>
      <c r="H273" s="1" t="s">
        <v>182</v>
      </c>
      <c r="I273" s="1" t="s">
        <v>172</v>
      </c>
      <c r="J273" s="1" t="s">
        <v>910</v>
      </c>
      <c r="K273" s="1" t="s">
        <v>811</v>
      </c>
      <c r="L273" s="1"/>
      <c r="M273" s="1" t="s">
        <v>257</v>
      </c>
      <c r="N273" s="6">
        <f>IFERROR(__xludf.DUMMYFUNCTION("IF(REGEXMATCH(A273, ""^00-""), 0, IF(AND(EQ(F273, """"), EQ(G273, """")), 1, 0))"),0.0)</f>
        <v>0</v>
      </c>
      <c r="O273" s="6">
        <f>IFERROR(__xludf.DUMMYFUNCTION("IF(REGEXMATCH(A273, ""^00-""), 0, IF(AND(NE(F273, """"), EQ(G273, """")), 1, 0))"),0.0)</f>
        <v>0</v>
      </c>
      <c r="P273" s="6">
        <f>IFERROR(__xludf.DUMMYFUNCTION("IF(REGEXMATCH(A273, ""^00-""), 0, IF(AND(EQ(F273, """"), NE(G273, """")), 1, 0))"),0.0)</f>
        <v>0</v>
      </c>
      <c r="Q273" s="6">
        <f>IFERROR(__xludf.DUMMYFUNCTION("IF(REGEXMATCH(A273, ""^00-""), 0, IF(AND(NE(F273, """"), NE(G273, """")), 1, 0))"),1.0)</f>
        <v>1</v>
      </c>
      <c r="R273" s="6">
        <f t="shared" si="1"/>
        <v>1</v>
      </c>
    </row>
    <row r="274">
      <c r="A274" s="1" t="s">
        <v>44</v>
      </c>
      <c r="B274" s="1" t="s">
        <v>929</v>
      </c>
      <c r="C274" s="1">
        <v>1517.0</v>
      </c>
      <c r="D274" s="1">
        <v>1225.0</v>
      </c>
      <c r="E274" s="1">
        <v>2742.0</v>
      </c>
      <c r="F274" s="1" t="s">
        <v>930</v>
      </c>
      <c r="G274" s="1" t="s">
        <v>931</v>
      </c>
      <c r="H274" s="1" t="s">
        <v>182</v>
      </c>
      <c r="I274" s="1" t="s">
        <v>172</v>
      </c>
      <c r="J274" s="1" t="s">
        <v>910</v>
      </c>
      <c r="K274" s="1" t="s">
        <v>811</v>
      </c>
      <c r="L274" s="1"/>
      <c r="M274" s="1" t="s">
        <v>257</v>
      </c>
      <c r="N274" s="6">
        <f>IFERROR(__xludf.DUMMYFUNCTION("IF(REGEXMATCH(A274, ""^00-""), 0, IF(AND(EQ(F274, """"), EQ(G274, """")), 1, 0))"),0.0)</f>
        <v>0</v>
      </c>
      <c r="O274" s="6">
        <f>IFERROR(__xludf.DUMMYFUNCTION("IF(REGEXMATCH(A274, ""^00-""), 0, IF(AND(NE(F274, """"), EQ(G274, """")), 1, 0))"),0.0)</f>
        <v>0</v>
      </c>
      <c r="P274" s="6">
        <f>IFERROR(__xludf.DUMMYFUNCTION("IF(REGEXMATCH(A274, ""^00-""), 0, IF(AND(EQ(F274, """"), NE(G274, """")), 1, 0))"),0.0)</f>
        <v>0</v>
      </c>
      <c r="Q274" s="6">
        <f>IFERROR(__xludf.DUMMYFUNCTION("IF(REGEXMATCH(A274, ""^00-""), 0, IF(AND(NE(F274, """"), NE(G274, """")), 1, 0))"),1.0)</f>
        <v>1</v>
      </c>
      <c r="R274" s="6">
        <f t="shared" si="1"/>
        <v>1</v>
      </c>
    </row>
    <row r="275">
      <c r="A275" s="1" t="s">
        <v>44</v>
      </c>
      <c r="B275" s="1" t="s">
        <v>932</v>
      </c>
      <c r="C275" s="1">
        <v>1774.0</v>
      </c>
      <c r="D275" s="1">
        <v>968.0</v>
      </c>
      <c r="E275" s="1">
        <v>2742.0</v>
      </c>
      <c r="F275" s="1" t="s">
        <v>933</v>
      </c>
      <c r="G275" s="1" t="s">
        <v>934</v>
      </c>
      <c r="H275" s="1" t="s">
        <v>182</v>
      </c>
      <c r="I275" s="1" t="s">
        <v>172</v>
      </c>
      <c r="J275" s="1" t="s">
        <v>910</v>
      </c>
      <c r="K275" s="1" t="s">
        <v>811</v>
      </c>
      <c r="L275" s="1"/>
      <c r="M275" s="1" t="s">
        <v>257</v>
      </c>
      <c r="N275" s="6">
        <f>IFERROR(__xludf.DUMMYFUNCTION("IF(REGEXMATCH(A275, ""^00-""), 0, IF(AND(EQ(F275, """"), EQ(G275, """")), 1, 0))"),0.0)</f>
        <v>0</v>
      </c>
      <c r="O275" s="6">
        <f>IFERROR(__xludf.DUMMYFUNCTION("IF(REGEXMATCH(A275, ""^00-""), 0, IF(AND(NE(F275, """"), EQ(G275, """")), 1, 0))"),0.0)</f>
        <v>0</v>
      </c>
      <c r="P275" s="6">
        <f>IFERROR(__xludf.DUMMYFUNCTION("IF(REGEXMATCH(A275, ""^00-""), 0, IF(AND(EQ(F275, """"), NE(G275, """")), 1, 0))"),0.0)</f>
        <v>0</v>
      </c>
      <c r="Q275" s="6">
        <f>IFERROR(__xludf.DUMMYFUNCTION("IF(REGEXMATCH(A275, ""^00-""), 0, IF(AND(NE(F275, """"), NE(G275, """")), 1, 0))"),1.0)</f>
        <v>1</v>
      </c>
      <c r="R275" s="6">
        <f t="shared" si="1"/>
        <v>1</v>
      </c>
    </row>
    <row r="276">
      <c r="A276" s="1" t="s">
        <v>44</v>
      </c>
      <c r="B276" s="1" t="s">
        <v>935</v>
      </c>
      <c r="C276" s="1">
        <v>1000.0</v>
      </c>
      <c r="D276" s="1">
        <v>1742.0</v>
      </c>
      <c r="E276" s="1">
        <v>2742.0</v>
      </c>
      <c r="F276" s="1" t="s">
        <v>936</v>
      </c>
      <c r="G276" s="1" t="s">
        <v>937</v>
      </c>
      <c r="H276" s="1" t="s">
        <v>182</v>
      </c>
      <c r="I276" s="1" t="s">
        <v>172</v>
      </c>
      <c r="J276" s="1" t="s">
        <v>910</v>
      </c>
      <c r="K276" s="1" t="s">
        <v>811</v>
      </c>
      <c r="L276" s="1"/>
      <c r="M276" s="1" t="s">
        <v>257</v>
      </c>
      <c r="N276" s="6">
        <f>IFERROR(__xludf.DUMMYFUNCTION("IF(REGEXMATCH(A276, ""^00-""), 0, IF(AND(EQ(F276, """"), EQ(G276, """")), 1, 0))"),0.0)</f>
        <v>0</v>
      </c>
      <c r="O276" s="6">
        <f>IFERROR(__xludf.DUMMYFUNCTION("IF(REGEXMATCH(A276, ""^00-""), 0, IF(AND(NE(F276, """"), EQ(G276, """")), 1, 0))"),0.0)</f>
        <v>0</v>
      </c>
      <c r="P276" s="6">
        <f>IFERROR(__xludf.DUMMYFUNCTION("IF(REGEXMATCH(A276, ""^00-""), 0, IF(AND(EQ(F276, """"), NE(G276, """")), 1, 0))"),0.0)</f>
        <v>0</v>
      </c>
      <c r="Q276" s="6">
        <f>IFERROR(__xludf.DUMMYFUNCTION("IF(REGEXMATCH(A276, ""^00-""), 0, IF(AND(NE(F276, """"), NE(G276, """")), 1, 0))"),1.0)</f>
        <v>1</v>
      </c>
      <c r="R276" s="6">
        <f t="shared" si="1"/>
        <v>1</v>
      </c>
    </row>
    <row r="277">
      <c r="A277" s="1" t="s">
        <v>44</v>
      </c>
      <c r="B277" s="1" t="s">
        <v>938</v>
      </c>
      <c r="C277" s="1">
        <v>955.0</v>
      </c>
      <c r="D277" s="1">
        <v>1787.0</v>
      </c>
      <c r="E277" s="1">
        <v>2742.0</v>
      </c>
      <c r="F277" s="1" t="s">
        <v>939</v>
      </c>
      <c r="G277" s="1" t="s">
        <v>940</v>
      </c>
      <c r="H277" s="1" t="s">
        <v>182</v>
      </c>
      <c r="I277" s="1" t="s">
        <v>172</v>
      </c>
      <c r="J277" s="1" t="s">
        <v>910</v>
      </c>
      <c r="K277" s="1" t="s">
        <v>811</v>
      </c>
      <c r="L277" s="1"/>
      <c r="M277" s="1" t="s">
        <v>257</v>
      </c>
      <c r="N277" s="6">
        <f>IFERROR(__xludf.DUMMYFUNCTION("IF(REGEXMATCH(A277, ""^00-""), 0, IF(AND(EQ(F277, """"), EQ(G277, """")), 1, 0))"),0.0)</f>
        <v>0</v>
      </c>
      <c r="O277" s="6">
        <f>IFERROR(__xludf.DUMMYFUNCTION("IF(REGEXMATCH(A277, ""^00-""), 0, IF(AND(NE(F277, """"), EQ(G277, """")), 1, 0))"),0.0)</f>
        <v>0</v>
      </c>
      <c r="P277" s="6">
        <f>IFERROR(__xludf.DUMMYFUNCTION("IF(REGEXMATCH(A277, ""^00-""), 0, IF(AND(EQ(F277, """"), NE(G277, """")), 1, 0))"),0.0)</f>
        <v>0</v>
      </c>
      <c r="Q277" s="6">
        <f>IFERROR(__xludf.DUMMYFUNCTION("IF(REGEXMATCH(A277, ""^00-""), 0, IF(AND(NE(F277, """"), NE(G277, """")), 1, 0))"),1.0)</f>
        <v>1</v>
      </c>
      <c r="R277" s="6">
        <f t="shared" si="1"/>
        <v>1</v>
      </c>
    </row>
    <row r="278">
      <c r="A278" s="1" t="s">
        <v>46</v>
      </c>
      <c r="B278" s="1" t="s">
        <v>941</v>
      </c>
      <c r="C278" s="1">
        <v>527.0</v>
      </c>
      <c r="D278" s="1">
        <v>5.0</v>
      </c>
      <c r="E278" s="1">
        <v>532.0</v>
      </c>
      <c r="F278" s="1" t="s">
        <v>942</v>
      </c>
      <c r="G278" s="1" t="s">
        <v>943</v>
      </c>
      <c r="H278" s="1" t="s">
        <v>182</v>
      </c>
      <c r="I278" s="1" t="s">
        <v>172</v>
      </c>
      <c r="J278" s="1" t="s">
        <v>910</v>
      </c>
      <c r="K278" s="1" t="s">
        <v>811</v>
      </c>
      <c r="L278" s="1" t="b">
        <v>1</v>
      </c>
      <c r="M278" s="1" t="s">
        <v>257</v>
      </c>
      <c r="N278" s="6">
        <f>IFERROR(__xludf.DUMMYFUNCTION("IF(REGEXMATCH(A278, ""^00-""), 0, IF(AND(EQ(F278, """"), EQ(G278, """")), 1, 0))"),0.0)</f>
        <v>0</v>
      </c>
      <c r="O278" s="6">
        <f>IFERROR(__xludf.DUMMYFUNCTION("IF(REGEXMATCH(A278, ""^00-""), 0, IF(AND(NE(F278, """"), EQ(G278, """")), 1, 0))"),0.0)</f>
        <v>0</v>
      </c>
      <c r="P278" s="6">
        <f>IFERROR(__xludf.DUMMYFUNCTION("IF(REGEXMATCH(A278, ""^00-""), 0, IF(AND(EQ(F278, """"), NE(G278, """")), 1, 0))"),0.0)</f>
        <v>0</v>
      </c>
      <c r="Q278" s="6">
        <f>IFERROR(__xludf.DUMMYFUNCTION("IF(REGEXMATCH(A278, ""^00-""), 0, IF(AND(NE(F278, """"), NE(G278, """")), 1, 0))"),1.0)</f>
        <v>1</v>
      </c>
      <c r="R278" s="6">
        <f t="shared" si="1"/>
        <v>1</v>
      </c>
    </row>
    <row r="279">
      <c r="A279" s="1" t="s">
        <v>46</v>
      </c>
      <c r="B279" s="1" t="s">
        <v>944</v>
      </c>
      <c r="C279" s="1">
        <v>364.0</v>
      </c>
      <c r="D279" s="1">
        <v>168.0</v>
      </c>
      <c r="E279" s="1">
        <v>532.0</v>
      </c>
      <c r="F279" s="1"/>
      <c r="G279" s="1" t="s">
        <v>945</v>
      </c>
      <c r="H279" s="1" t="s">
        <v>250</v>
      </c>
      <c r="I279" s="1" t="s">
        <v>172</v>
      </c>
      <c r="J279" s="1" t="s">
        <v>910</v>
      </c>
      <c r="K279" s="1" t="s">
        <v>811</v>
      </c>
      <c r="L279" s="1" t="b">
        <v>1</v>
      </c>
      <c r="M279" s="1" t="s">
        <v>250</v>
      </c>
      <c r="N279" s="6">
        <f>IFERROR(__xludf.DUMMYFUNCTION("IF(REGEXMATCH(A279, ""^00-""), 0, IF(AND(EQ(F279, """"), EQ(G279, """")), 1, 0))"),0.0)</f>
        <v>0</v>
      </c>
      <c r="O279" s="6">
        <f>IFERROR(__xludf.DUMMYFUNCTION("IF(REGEXMATCH(A279, ""^00-""), 0, IF(AND(NE(F279, """"), EQ(G279, """")), 1, 0))"),0.0)</f>
        <v>0</v>
      </c>
      <c r="P279" s="6">
        <f>IFERROR(__xludf.DUMMYFUNCTION("IF(REGEXMATCH(A279, ""^00-""), 0, IF(AND(EQ(F279, """"), NE(G279, """")), 1, 0))"),1.0)</f>
        <v>1</v>
      </c>
      <c r="Q279" s="6">
        <f>IFERROR(__xludf.DUMMYFUNCTION("IF(REGEXMATCH(A279, ""^00-""), 0, IF(AND(NE(F279, """"), NE(G279, """")), 1, 0))"),0.0)</f>
        <v>0</v>
      </c>
      <c r="R279" s="6">
        <f t="shared" si="1"/>
        <v>1</v>
      </c>
    </row>
    <row r="280">
      <c r="A280" s="1" t="s">
        <v>46</v>
      </c>
      <c r="B280" s="1" t="s">
        <v>946</v>
      </c>
      <c r="C280" s="1">
        <v>522.0</v>
      </c>
      <c r="D280" s="1">
        <v>10.0</v>
      </c>
      <c r="E280" s="1">
        <v>532.0</v>
      </c>
      <c r="F280" s="1" t="s">
        <v>947</v>
      </c>
      <c r="G280" s="1" t="s">
        <v>948</v>
      </c>
      <c r="H280" s="1" t="s">
        <v>182</v>
      </c>
      <c r="I280" s="1" t="s">
        <v>172</v>
      </c>
      <c r="J280" s="1" t="s">
        <v>910</v>
      </c>
      <c r="K280" s="1" t="s">
        <v>811</v>
      </c>
      <c r="L280" s="1" t="b">
        <v>1</v>
      </c>
      <c r="M280" s="1" t="s">
        <v>257</v>
      </c>
      <c r="N280" s="6">
        <f>IFERROR(__xludf.DUMMYFUNCTION("IF(REGEXMATCH(A280, ""^00-""), 0, IF(AND(EQ(F280, """"), EQ(G280, """")), 1, 0))"),0.0)</f>
        <v>0</v>
      </c>
      <c r="O280" s="6">
        <f>IFERROR(__xludf.DUMMYFUNCTION("IF(REGEXMATCH(A280, ""^00-""), 0, IF(AND(NE(F280, """"), EQ(G280, """")), 1, 0))"),0.0)</f>
        <v>0</v>
      </c>
      <c r="P280" s="6">
        <f>IFERROR(__xludf.DUMMYFUNCTION("IF(REGEXMATCH(A280, ""^00-""), 0, IF(AND(EQ(F280, """"), NE(G280, """")), 1, 0))"),0.0)</f>
        <v>0</v>
      </c>
      <c r="Q280" s="6">
        <f>IFERROR(__xludf.DUMMYFUNCTION("IF(REGEXMATCH(A280, ""^00-""), 0, IF(AND(NE(F280, """"), NE(G280, """")), 1, 0))"),1.0)</f>
        <v>1</v>
      </c>
      <c r="R280" s="6">
        <f t="shared" si="1"/>
        <v>1</v>
      </c>
    </row>
    <row r="281">
      <c r="A281" s="1" t="s">
        <v>46</v>
      </c>
      <c r="B281" s="1" t="s">
        <v>949</v>
      </c>
      <c r="C281" s="1">
        <v>361.0</v>
      </c>
      <c r="D281" s="1">
        <v>171.0</v>
      </c>
      <c r="E281" s="1">
        <v>532.0</v>
      </c>
      <c r="F281" s="1"/>
      <c r="G281" s="1" t="s">
        <v>950</v>
      </c>
      <c r="H281" s="1" t="s">
        <v>250</v>
      </c>
      <c r="I281" s="1" t="s">
        <v>172</v>
      </c>
      <c r="J281" s="1" t="s">
        <v>910</v>
      </c>
      <c r="K281" s="1" t="s">
        <v>811</v>
      </c>
      <c r="L281" s="1" t="b">
        <v>1</v>
      </c>
      <c r="M281" s="1" t="s">
        <v>250</v>
      </c>
      <c r="N281" s="6">
        <f>IFERROR(__xludf.DUMMYFUNCTION("IF(REGEXMATCH(A281, ""^00-""), 0, IF(AND(EQ(F281, """"), EQ(G281, """")), 1, 0))"),0.0)</f>
        <v>0</v>
      </c>
      <c r="O281" s="6">
        <f>IFERROR(__xludf.DUMMYFUNCTION("IF(REGEXMATCH(A281, ""^00-""), 0, IF(AND(NE(F281, """"), EQ(G281, """")), 1, 0))"),0.0)</f>
        <v>0</v>
      </c>
      <c r="P281" s="6">
        <f>IFERROR(__xludf.DUMMYFUNCTION("IF(REGEXMATCH(A281, ""^00-""), 0, IF(AND(EQ(F281, """"), NE(G281, """")), 1, 0))"),1.0)</f>
        <v>1</v>
      </c>
      <c r="Q281" s="6">
        <f>IFERROR(__xludf.DUMMYFUNCTION("IF(REGEXMATCH(A281, ""^00-""), 0, IF(AND(NE(F281, """"), NE(G281, """")), 1, 0))"),0.0)</f>
        <v>0</v>
      </c>
      <c r="R281" s="6">
        <f t="shared" si="1"/>
        <v>1</v>
      </c>
    </row>
    <row r="282">
      <c r="A282" s="1" t="s">
        <v>48</v>
      </c>
      <c r="B282" s="1" t="s">
        <v>951</v>
      </c>
      <c r="C282" s="1">
        <v>307.0</v>
      </c>
      <c r="D282" s="1">
        <v>225.0</v>
      </c>
      <c r="E282" s="1">
        <v>532.0</v>
      </c>
      <c r="F282" s="1"/>
      <c r="G282" s="1" t="s">
        <v>952</v>
      </c>
      <c r="H282" s="1" t="s">
        <v>182</v>
      </c>
      <c r="I282" s="1" t="s">
        <v>172</v>
      </c>
      <c r="J282" s="1" t="s">
        <v>953</v>
      </c>
      <c r="K282" s="1" t="s">
        <v>811</v>
      </c>
      <c r="L282" s="1" t="b">
        <v>1</v>
      </c>
      <c r="M282" s="1" t="s">
        <v>257</v>
      </c>
      <c r="N282" s="6">
        <f>IFERROR(__xludf.DUMMYFUNCTION("IF(REGEXMATCH(A282, ""^00-""), 0, IF(AND(EQ(F282, """"), EQ(G282, """")), 1, 0))"),0.0)</f>
        <v>0</v>
      </c>
      <c r="O282" s="6">
        <f>IFERROR(__xludf.DUMMYFUNCTION("IF(REGEXMATCH(A282, ""^00-""), 0, IF(AND(NE(F282, """"), EQ(G282, """")), 1, 0))"),0.0)</f>
        <v>0</v>
      </c>
      <c r="P282" s="6">
        <f>IFERROR(__xludf.DUMMYFUNCTION("IF(REGEXMATCH(A282, ""^00-""), 0, IF(AND(EQ(F282, """"), NE(G282, """")), 1, 0))"),1.0)</f>
        <v>1</v>
      </c>
      <c r="Q282" s="6">
        <f>IFERROR(__xludf.DUMMYFUNCTION("IF(REGEXMATCH(A282, ""^00-""), 0, IF(AND(NE(F282, """"), NE(G282, """")), 1, 0))"),0.0)</f>
        <v>0</v>
      </c>
      <c r="R282" s="6">
        <f t="shared" si="1"/>
        <v>1</v>
      </c>
    </row>
    <row r="283">
      <c r="A283" s="1" t="s">
        <v>48</v>
      </c>
      <c r="B283" s="1" t="s">
        <v>954</v>
      </c>
      <c r="C283" s="1">
        <v>311.0</v>
      </c>
      <c r="D283" s="1">
        <v>221.0</v>
      </c>
      <c r="E283" s="1">
        <v>532.0</v>
      </c>
      <c r="F283" s="1"/>
      <c r="G283" s="7" t="s">
        <v>955</v>
      </c>
      <c r="H283" s="1" t="s">
        <v>250</v>
      </c>
      <c r="I283" s="1" t="s">
        <v>172</v>
      </c>
      <c r="J283" s="1" t="s">
        <v>953</v>
      </c>
      <c r="K283" s="1" t="s">
        <v>811</v>
      </c>
      <c r="L283" s="1" t="b">
        <v>1</v>
      </c>
      <c r="M283" s="1" t="s">
        <v>250</v>
      </c>
      <c r="N283" s="6">
        <f>IFERROR(__xludf.DUMMYFUNCTION("IF(REGEXMATCH(A283, ""^00-""), 0, IF(AND(EQ(F283, """"), EQ(G283, """")), 1, 0))"),0.0)</f>
        <v>0</v>
      </c>
      <c r="O283" s="6">
        <f>IFERROR(__xludf.DUMMYFUNCTION("IF(REGEXMATCH(A283, ""^00-""), 0, IF(AND(NE(F283, """"), EQ(G283, """")), 1, 0))"),0.0)</f>
        <v>0</v>
      </c>
      <c r="P283" s="6">
        <f>IFERROR(__xludf.DUMMYFUNCTION("IF(REGEXMATCH(A283, ""^00-""), 0, IF(AND(EQ(F283, """"), NE(G283, """")), 1, 0))"),1.0)</f>
        <v>1</v>
      </c>
      <c r="Q283" s="6">
        <f>IFERROR(__xludf.DUMMYFUNCTION("IF(REGEXMATCH(A283, ""^00-""), 0, IF(AND(NE(F283, """"), NE(G283, """")), 1, 0))"),0.0)</f>
        <v>0</v>
      </c>
      <c r="R283" s="6">
        <f t="shared" si="1"/>
        <v>1</v>
      </c>
    </row>
    <row r="284">
      <c r="A284" s="1" t="s">
        <v>48</v>
      </c>
      <c r="B284" s="1" t="s">
        <v>956</v>
      </c>
      <c r="C284" s="1">
        <v>304.0</v>
      </c>
      <c r="D284" s="1">
        <v>228.0</v>
      </c>
      <c r="E284" s="1">
        <v>532.0</v>
      </c>
      <c r="F284" s="1"/>
      <c r="G284" s="1" t="s">
        <v>957</v>
      </c>
      <c r="H284" s="1" t="s">
        <v>182</v>
      </c>
      <c r="I284" s="1" t="s">
        <v>172</v>
      </c>
      <c r="J284" s="1" t="s">
        <v>953</v>
      </c>
      <c r="K284" s="1" t="s">
        <v>811</v>
      </c>
      <c r="L284" s="1" t="b">
        <v>1</v>
      </c>
      <c r="M284" s="1" t="s">
        <v>257</v>
      </c>
      <c r="N284" s="6">
        <f>IFERROR(__xludf.DUMMYFUNCTION("IF(REGEXMATCH(A284, ""^00-""), 0, IF(AND(EQ(F284, """"), EQ(G284, """")), 1, 0))"),0.0)</f>
        <v>0</v>
      </c>
      <c r="O284" s="6">
        <f>IFERROR(__xludf.DUMMYFUNCTION("IF(REGEXMATCH(A284, ""^00-""), 0, IF(AND(NE(F284, """"), EQ(G284, """")), 1, 0))"),0.0)</f>
        <v>0</v>
      </c>
      <c r="P284" s="6">
        <f>IFERROR(__xludf.DUMMYFUNCTION("IF(REGEXMATCH(A284, ""^00-""), 0, IF(AND(EQ(F284, """"), NE(G284, """")), 1, 0))"),1.0)</f>
        <v>1</v>
      </c>
      <c r="Q284" s="6">
        <f>IFERROR(__xludf.DUMMYFUNCTION("IF(REGEXMATCH(A284, ""^00-""), 0, IF(AND(NE(F284, """"), NE(G284, """")), 1, 0))"),0.0)</f>
        <v>0</v>
      </c>
      <c r="R284" s="6">
        <f t="shared" si="1"/>
        <v>1</v>
      </c>
    </row>
    <row r="285">
      <c r="A285" s="1" t="s">
        <v>48</v>
      </c>
      <c r="B285" s="1" t="s">
        <v>958</v>
      </c>
      <c r="C285" s="1">
        <v>308.0</v>
      </c>
      <c r="D285" s="1">
        <v>224.0</v>
      </c>
      <c r="E285" s="1">
        <v>532.0</v>
      </c>
      <c r="F285" s="1"/>
      <c r="G285" s="1" t="s">
        <v>959</v>
      </c>
      <c r="H285" s="1" t="s">
        <v>250</v>
      </c>
      <c r="I285" s="1" t="s">
        <v>172</v>
      </c>
      <c r="J285" s="1" t="s">
        <v>953</v>
      </c>
      <c r="K285" s="1" t="s">
        <v>811</v>
      </c>
      <c r="L285" s="1" t="b">
        <v>1</v>
      </c>
      <c r="M285" s="1" t="s">
        <v>250</v>
      </c>
      <c r="N285" s="6">
        <f>IFERROR(__xludf.DUMMYFUNCTION("IF(REGEXMATCH(A285, ""^00-""), 0, IF(AND(EQ(F285, """"), EQ(G285, """")), 1, 0))"),0.0)</f>
        <v>0</v>
      </c>
      <c r="O285" s="6">
        <f>IFERROR(__xludf.DUMMYFUNCTION("IF(REGEXMATCH(A285, ""^00-""), 0, IF(AND(NE(F285, """"), EQ(G285, """")), 1, 0))"),0.0)</f>
        <v>0</v>
      </c>
      <c r="P285" s="6">
        <f>IFERROR(__xludf.DUMMYFUNCTION("IF(REGEXMATCH(A285, ""^00-""), 0, IF(AND(EQ(F285, """"), NE(G285, """")), 1, 0))"),1.0)</f>
        <v>1</v>
      </c>
      <c r="Q285" s="6">
        <f>IFERROR(__xludf.DUMMYFUNCTION("IF(REGEXMATCH(A285, ""^00-""), 0, IF(AND(NE(F285, """"), NE(G285, """")), 1, 0))"),0.0)</f>
        <v>0</v>
      </c>
      <c r="R285" s="6">
        <f t="shared" si="1"/>
        <v>1</v>
      </c>
    </row>
    <row r="286">
      <c r="A286" s="1" t="s">
        <v>48</v>
      </c>
      <c r="B286" s="1" t="s">
        <v>960</v>
      </c>
      <c r="C286" s="1">
        <v>328.0</v>
      </c>
      <c r="D286" s="1">
        <v>204.0</v>
      </c>
      <c r="E286" s="1">
        <v>532.0</v>
      </c>
      <c r="F286" s="1"/>
      <c r="G286" s="1" t="s">
        <v>961</v>
      </c>
      <c r="H286" s="1" t="s">
        <v>182</v>
      </c>
      <c r="I286" s="1" t="s">
        <v>172</v>
      </c>
      <c r="J286" s="1" t="s">
        <v>953</v>
      </c>
      <c r="K286" s="1" t="s">
        <v>811</v>
      </c>
      <c r="L286" s="1" t="b">
        <v>1</v>
      </c>
      <c r="M286" s="1" t="s">
        <v>257</v>
      </c>
      <c r="N286" s="6">
        <f>IFERROR(__xludf.DUMMYFUNCTION("IF(REGEXMATCH(A286, ""^00-""), 0, IF(AND(EQ(F286, """"), EQ(G286, """")), 1, 0))"),0.0)</f>
        <v>0</v>
      </c>
      <c r="O286" s="6">
        <f>IFERROR(__xludf.DUMMYFUNCTION("IF(REGEXMATCH(A286, ""^00-""), 0, IF(AND(NE(F286, """"), EQ(G286, """")), 1, 0))"),0.0)</f>
        <v>0</v>
      </c>
      <c r="P286" s="6">
        <f>IFERROR(__xludf.DUMMYFUNCTION("IF(REGEXMATCH(A286, ""^00-""), 0, IF(AND(EQ(F286, """"), NE(G286, """")), 1, 0))"),1.0)</f>
        <v>1</v>
      </c>
      <c r="Q286" s="6">
        <f>IFERROR(__xludf.DUMMYFUNCTION("IF(REGEXMATCH(A286, ""^00-""), 0, IF(AND(NE(F286, """"), NE(G286, """")), 1, 0))"),0.0)</f>
        <v>0</v>
      </c>
      <c r="R286" s="6">
        <f t="shared" si="1"/>
        <v>1</v>
      </c>
    </row>
    <row r="287">
      <c r="A287" s="1" t="s">
        <v>48</v>
      </c>
      <c r="B287" s="1" t="s">
        <v>962</v>
      </c>
      <c r="C287" s="1">
        <v>334.0</v>
      </c>
      <c r="D287" s="1">
        <v>198.0</v>
      </c>
      <c r="E287" s="1">
        <v>532.0</v>
      </c>
      <c r="F287" s="1"/>
      <c r="G287" s="1" t="s">
        <v>963</v>
      </c>
      <c r="H287" s="1" t="s">
        <v>250</v>
      </c>
      <c r="I287" s="1" t="s">
        <v>172</v>
      </c>
      <c r="J287" s="1" t="s">
        <v>953</v>
      </c>
      <c r="K287" s="1" t="s">
        <v>811</v>
      </c>
      <c r="L287" s="1" t="b">
        <v>1</v>
      </c>
      <c r="M287" s="1" t="s">
        <v>250</v>
      </c>
      <c r="N287" s="6">
        <f>IFERROR(__xludf.DUMMYFUNCTION("IF(REGEXMATCH(A287, ""^00-""), 0, IF(AND(EQ(F287, """"), EQ(G287, """")), 1, 0))"),0.0)</f>
        <v>0</v>
      </c>
      <c r="O287" s="6">
        <f>IFERROR(__xludf.DUMMYFUNCTION("IF(REGEXMATCH(A287, ""^00-""), 0, IF(AND(NE(F287, """"), EQ(G287, """")), 1, 0))"),0.0)</f>
        <v>0</v>
      </c>
      <c r="P287" s="6">
        <f>IFERROR(__xludf.DUMMYFUNCTION("IF(REGEXMATCH(A287, ""^00-""), 0, IF(AND(EQ(F287, """"), NE(G287, """")), 1, 0))"),1.0)</f>
        <v>1</v>
      </c>
      <c r="Q287" s="6">
        <f>IFERROR(__xludf.DUMMYFUNCTION("IF(REGEXMATCH(A287, ""^00-""), 0, IF(AND(NE(F287, """"), NE(G287, """")), 1, 0))"),0.0)</f>
        <v>0</v>
      </c>
      <c r="R287" s="6">
        <f t="shared" si="1"/>
        <v>1</v>
      </c>
    </row>
    <row r="288">
      <c r="A288" s="1" t="s">
        <v>48</v>
      </c>
      <c r="B288" s="1" t="s">
        <v>964</v>
      </c>
      <c r="C288" s="1">
        <v>331.0</v>
      </c>
      <c r="D288" s="1">
        <v>201.0</v>
      </c>
      <c r="E288" s="1">
        <v>532.0</v>
      </c>
      <c r="F288" s="1"/>
      <c r="G288" s="1" t="s">
        <v>965</v>
      </c>
      <c r="H288" s="1" t="s">
        <v>182</v>
      </c>
      <c r="I288" s="1" t="s">
        <v>172</v>
      </c>
      <c r="J288" s="1" t="s">
        <v>953</v>
      </c>
      <c r="K288" s="1" t="s">
        <v>811</v>
      </c>
      <c r="L288" s="1" t="b">
        <v>1</v>
      </c>
      <c r="M288" s="1" t="s">
        <v>257</v>
      </c>
      <c r="N288" s="6">
        <f>IFERROR(__xludf.DUMMYFUNCTION("IF(REGEXMATCH(A288, ""^00-""), 0, IF(AND(EQ(F288, """"), EQ(G288, """")), 1, 0))"),0.0)</f>
        <v>0</v>
      </c>
      <c r="O288" s="6">
        <f>IFERROR(__xludf.DUMMYFUNCTION("IF(REGEXMATCH(A288, ""^00-""), 0, IF(AND(NE(F288, """"), EQ(G288, """")), 1, 0))"),0.0)</f>
        <v>0</v>
      </c>
      <c r="P288" s="6">
        <f>IFERROR(__xludf.DUMMYFUNCTION("IF(REGEXMATCH(A288, ""^00-""), 0, IF(AND(EQ(F288, """"), NE(G288, """")), 1, 0))"),1.0)</f>
        <v>1</v>
      </c>
      <c r="Q288" s="6">
        <f>IFERROR(__xludf.DUMMYFUNCTION("IF(REGEXMATCH(A288, ""^00-""), 0, IF(AND(NE(F288, """"), NE(G288, """")), 1, 0))"),0.0)</f>
        <v>0</v>
      </c>
      <c r="R288" s="6">
        <f t="shared" si="1"/>
        <v>1</v>
      </c>
    </row>
    <row r="289">
      <c r="A289" s="1" t="s">
        <v>48</v>
      </c>
      <c r="B289" s="1" t="s">
        <v>966</v>
      </c>
      <c r="C289" s="1">
        <v>335.0</v>
      </c>
      <c r="D289" s="1">
        <v>197.0</v>
      </c>
      <c r="E289" s="1">
        <v>532.0</v>
      </c>
      <c r="F289" s="1"/>
      <c r="G289" s="1" t="s">
        <v>967</v>
      </c>
      <c r="H289" s="1" t="s">
        <v>250</v>
      </c>
      <c r="I289" s="1" t="s">
        <v>172</v>
      </c>
      <c r="J289" s="1" t="s">
        <v>953</v>
      </c>
      <c r="K289" s="1" t="s">
        <v>811</v>
      </c>
      <c r="L289" s="1" t="b">
        <v>1</v>
      </c>
      <c r="M289" s="1" t="s">
        <v>250</v>
      </c>
      <c r="N289" s="6">
        <f>IFERROR(__xludf.DUMMYFUNCTION("IF(REGEXMATCH(A289, ""^00-""), 0, IF(AND(EQ(F289, """"), EQ(G289, """")), 1, 0))"),0.0)</f>
        <v>0</v>
      </c>
      <c r="O289" s="6">
        <f>IFERROR(__xludf.DUMMYFUNCTION("IF(REGEXMATCH(A289, ""^00-""), 0, IF(AND(NE(F289, """"), EQ(G289, """")), 1, 0))"),0.0)</f>
        <v>0</v>
      </c>
      <c r="P289" s="6">
        <f>IFERROR(__xludf.DUMMYFUNCTION("IF(REGEXMATCH(A289, ""^00-""), 0, IF(AND(EQ(F289, """"), NE(G289, """")), 1, 0))"),1.0)</f>
        <v>1</v>
      </c>
      <c r="Q289" s="6">
        <f>IFERROR(__xludf.DUMMYFUNCTION("IF(REGEXMATCH(A289, ""^00-""), 0, IF(AND(NE(F289, """"), NE(G289, """")), 1, 0))"),0.0)</f>
        <v>0</v>
      </c>
      <c r="R289" s="6">
        <f t="shared" si="1"/>
        <v>1</v>
      </c>
    </row>
    <row r="290">
      <c r="A290" s="1" t="s">
        <v>48</v>
      </c>
      <c r="B290" s="1" t="s">
        <v>968</v>
      </c>
      <c r="C290" s="1">
        <v>305.0</v>
      </c>
      <c r="D290" s="1">
        <v>227.0</v>
      </c>
      <c r="E290" s="1">
        <v>532.0</v>
      </c>
      <c r="F290" s="1"/>
      <c r="G290" s="1" t="s">
        <v>969</v>
      </c>
      <c r="H290" s="1" t="s">
        <v>182</v>
      </c>
      <c r="I290" s="1" t="s">
        <v>172</v>
      </c>
      <c r="J290" s="1" t="s">
        <v>953</v>
      </c>
      <c r="K290" s="1" t="s">
        <v>811</v>
      </c>
      <c r="L290" s="1" t="b">
        <v>1</v>
      </c>
      <c r="M290" s="1" t="s">
        <v>257</v>
      </c>
      <c r="N290" s="6">
        <f>IFERROR(__xludf.DUMMYFUNCTION("IF(REGEXMATCH(A290, ""^00-""), 0, IF(AND(EQ(F290, """"), EQ(G290, """")), 1, 0))"),0.0)</f>
        <v>0</v>
      </c>
      <c r="O290" s="6">
        <f>IFERROR(__xludf.DUMMYFUNCTION("IF(REGEXMATCH(A290, ""^00-""), 0, IF(AND(NE(F290, """"), EQ(G290, """")), 1, 0))"),0.0)</f>
        <v>0</v>
      </c>
      <c r="P290" s="6">
        <f>IFERROR(__xludf.DUMMYFUNCTION("IF(REGEXMATCH(A290, ""^00-""), 0, IF(AND(EQ(F290, """"), NE(G290, """")), 1, 0))"),1.0)</f>
        <v>1</v>
      </c>
      <c r="Q290" s="6">
        <f>IFERROR(__xludf.DUMMYFUNCTION("IF(REGEXMATCH(A290, ""^00-""), 0, IF(AND(NE(F290, """"), NE(G290, """")), 1, 0))"),0.0)</f>
        <v>0</v>
      </c>
      <c r="R290" s="6">
        <f t="shared" si="1"/>
        <v>1</v>
      </c>
    </row>
    <row r="291">
      <c r="A291" s="1" t="s">
        <v>48</v>
      </c>
      <c r="B291" s="1" t="s">
        <v>970</v>
      </c>
      <c r="C291" s="1">
        <v>306.0</v>
      </c>
      <c r="D291" s="1">
        <v>226.0</v>
      </c>
      <c r="E291" s="1">
        <v>532.0</v>
      </c>
      <c r="F291" s="1"/>
      <c r="G291" s="1" t="s">
        <v>971</v>
      </c>
      <c r="H291" s="1" t="s">
        <v>250</v>
      </c>
      <c r="I291" s="1" t="s">
        <v>172</v>
      </c>
      <c r="J291" s="1" t="s">
        <v>953</v>
      </c>
      <c r="K291" s="1" t="s">
        <v>811</v>
      </c>
      <c r="L291" s="1" t="b">
        <v>1</v>
      </c>
      <c r="M291" s="1" t="s">
        <v>250</v>
      </c>
      <c r="N291" s="6">
        <f>IFERROR(__xludf.DUMMYFUNCTION("IF(REGEXMATCH(A291, ""^00-""), 0, IF(AND(EQ(F291, """"), EQ(G291, """")), 1, 0))"),0.0)</f>
        <v>0</v>
      </c>
      <c r="O291" s="6">
        <f>IFERROR(__xludf.DUMMYFUNCTION("IF(REGEXMATCH(A291, ""^00-""), 0, IF(AND(NE(F291, """"), EQ(G291, """")), 1, 0))"),0.0)</f>
        <v>0</v>
      </c>
      <c r="P291" s="6">
        <f>IFERROR(__xludf.DUMMYFUNCTION("IF(REGEXMATCH(A291, ""^00-""), 0, IF(AND(EQ(F291, """"), NE(G291, """")), 1, 0))"),1.0)</f>
        <v>1</v>
      </c>
      <c r="Q291" s="6">
        <f>IFERROR(__xludf.DUMMYFUNCTION("IF(REGEXMATCH(A291, ""^00-""), 0, IF(AND(NE(F291, """"), NE(G291, """")), 1, 0))"),0.0)</f>
        <v>0</v>
      </c>
      <c r="R291" s="6">
        <f t="shared" si="1"/>
        <v>1</v>
      </c>
    </row>
    <row r="292">
      <c r="A292" s="1" t="s">
        <v>48</v>
      </c>
      <c r="B292" s="1" t="s">
        <v>972</v>
      </c>
      <c r="C292" s="1">
        <v>516.0</v>
      </c>
      <c r="D292" s="1">
        <v>16.0</v>
      </c>
      <c r="E292" s="1">
        <v>532.0</v>
      </c>
      <c r="F292" s="1" t="s">
        <v>973</v>
      </c>
      <c r="G292" s="1" t="s">
        <v>974</v>
      </c>
      <c r="H292" s="1" t="s">
        <v>182</v>
      </c>
      <c r="I292" s="1" t="s">
        <v>172</v>
      </c>
      <c r="J292" s="1" t="s">
        <v>953</v>
      </c>
      <c r="K292" s="1" t="s">
        <v>811</v>
      </c>
      <c r="L292" s="1" t="b">
        <v>1</v>
      </c>
      <c r="M292" s="1" t="s">
        <v>257</v>
      </c>
      <c r="N292" s="6">
        <f>IFERROR(__xludf.DUMMYFUNCTION("IF(REGEXMATCH(A292, ""^00-""), 0, IF(AND(EQ(F292, """"), EQ(G292, """")), 1, 0))"),0.0)</f>
        <v>0</v>
      </c>
      <c r="O292" s="6">
        <f>IFERROR(__xludf.DUMMYFUNCTION("IF(REGEXMATCH(A292, ""^00-""), 0, IF(AND(NE(F292, """"), EQ(G292, """")), 1, 0))"),0.0)</f>
        <v>0</v>
      </c>
      <c r="P292" s="6">
        <f>IFERROR(__xludf.DUMMYFUNCTION("IF(REGEXMATCH(A292, ""^00-""), 0, IF(AND(EQ(F292, """"), NE(G292, """")), 1, 0))"),0.0)</f>
        <v>0</v>
      </c>
      <c r="Q292" s="6">
        <f>IFERROR(__xludf.DUMMYFUNCTION("IF(REGEXMATCH(A292, ""^00-""), 0, IF(AND(NE(F292, """"), NE(G292, """")), 1, 0))"),1.0)</f>
        <v>1</v>
      </c>
      <c r="R292" s="6">
        <f t="shared" si="1"/>
        <v>1</v>
      </c>
    </row>
    <row r="293">
      <c r="A293" s="1" t="s">
        <v>48</v>
      </c>
      <c r="B293" s="1" t="s">
        <v>975</v>
      </c>
      <c r="C293" s="1">
        <v>516.0</v>
      </c>
      <c r="D293" s="1">
        <v>16.0</v>
      </c>
      <c r="E293" s="1">
        <v>532.0</v>
      </c>
      <c r="F293" s="1" t="s">
        <v>976</v>
      </c>
      <c r="G293" s="1" t="s">
        <v>977</v>
      </c>
      <c r="H293" s="1" t="s">
        <v>250</v>
      </c>
      <c r="I293" s="1" t="s">
        <v>172</v>
      </c>
      <c r="J293" s="1" t="s">
        <v>953</v>
      </c>
      <c r="K293" s="1" t="s">
        <v>811</v>
      </c>
      <c r="L293" s="1" t="b">
        <v>1</v>
      </c>
      <c r="M293" s="1" t="s">
        <v>250</v>
      </c>
      <c r="N293" s="6">
        <f>IFERROR(__xludf.DUMMYFUNCTION("IF(REGEXMATCH(A293, ""^00-""), 0, IF(AND(EQ(F293, """"), EQ(G293, """")), 1, 0))"),0.0)</f>
        <v>0</v>
      </c>
      <c r="O293" s="6">
        <f>IFERROR(__xludf.DUMMYFUNCTION("IF(REGEXMATCH(A293, ""^00-""), 0, IF(AND(NE(F293, """"), EQ(G293, """")), 1, 0))"),0.0)</f>
        <v>0</v>
      </c>
      <c r="P293" s="6">
        <f>IFERROR(__xludf.DUMMYFUNCTION("IF(REGEXMATCH(A293, ""^00-""), 0, IF(AND(EQ(F293, """"), NE(G293, """")), 1, 0))"),0.0)</f>
        <v>0</v>
      </c>
      <c r="Q293" s="6">
        <f>IFERROR(__xludf.DUMMYFUNCTION("IF(REGEXMATCH(A293, ""^00-""), 0, IF(AND(NE(F293, """"), NE(G293, """")), 1, 0))"),1.0)</f>
        <v>1</v>
      </c>
      <c r="R293" s="6">
        <f t="shared" si="1"/>
        <v>1</v>
      </c>
    </row>
    <row r="294">
      <c r="A294" s="1" t="s">
        <v>48</v>
      </c>
      <c r="B294" s="1" t="s">
        <v>978</v>
      </c>
      <c r="C294" s="1">
        <v>516.0</v>
      </c>
      <c r="D294" s="1">
        <v>16.0</v>
      </c>
      <c r="E294" s="1">
        <v>532.0</v>
      </c>
      <c r="F294" s="1" t="s">
        <v>979</v>
      </c>
      <c r="G294" s="1" t="s">
        <v>980</v>
      </c>
      <c r="H294" s="1" t="s">
        <v>182</v>
      </c>
      <c r="I294" s="1" t="s">
        <v>172</v>
      </c>
      <c r="J294" s="1" t="s">
        <v>953</v>
      </c>
      <c r="K294" s="1" t="s">
        <v>811</v>
      </c>
      <c r="L294" s="1" t="b">
        <v>1</v>
      </c>
      <c r="M294" s="1" t="s">
        <v>257</v>
      </c>
      <c r="N294" s="6">
        <f>IFERROR(__xludf.DUMMYFUNCTION("IF(REGEXMATCH(A294, ""^00-""), 0, IF(AND(EQ(F294, """"), EQ(G294, """")), 1, 0))"),0.0)</f>
        <v>0</v>
      </c>
      <c r="O294" s="6">
        <f>IFERROR(__xludf.DUMMYFUNCTION("IF(REGEXMATCH(A294, ""^00-""), 0, IF(AND(NE(F294, """"), EQ(G294, """")), 1, 0))"),0.0)</f>
        <v>0</v>
      </c>
      <c r="P294" s="6">
        <f>IFERROR(__xludf.DUMMYFUNCTION("IF(REGEXMATCH(A294, ""^00-""), 0, IF(AND(EQ(F294, """"), NE(G294, """")), 1, 0))"),0.0)</f>
        <v>0</v>
      </c>
      <c r="Q294" s="6">
        <f>IFERROR(__xludf.DUMMYFUNCTION("IF(REGEXMATCH(A294, ""^00-""), 0, IF(AND(NE(F294, """"), NE(G294, """")), 1, 0))"),1.0)</f>
        <v>1</v>
      </c>
      <c r="R294" s="6">
        <f t="shared" si="1"/>
        <v>1</v>
      </c>
    </row>
    <row r="295">
      <c r="A295" s="1" t="s">
        <v>48</v>
      </c>
      <c r="B295" s="1" t="s">
        <v>981</v>
      </c>
      <c r="C295" s="1">
        <v>516.0</v>
      </c>
      <c r="D295" s="1">
        <v>16.0</v>
      </c>
      <c r="E295" s="1">
        <v>532.0</v>
      </c>
      <c r="F295" s="1" t="s">
        <v>982</v>
      </c>
      <c r="G295" s="1" t="s">
        <v>983</v>
      </c>
      <c r="H295" s="1" t="s">
        <v>250</v>
      </c>
      <c r="I295" s="1" t="s">
        <v>172</v>
      </c>
      <c r="J295" s="1" t="s">
        <v>953</v>
      </c>
      <c r="K295" s="1" t="s">
        <v>811</v>
      </c>
      <c r="L295" s="1" t="b">
        <v>1</v>
      </c>
      <c r="M295" s="1" t="s">
        <v>250</v>
      </c>
      <c r="N295" s="6">
        <f>IFERROR(__xludf.DUMMYFUNCTION("IF(REGEXMATCH(A295, ""^00-""), 0, IF(AND(EQ(F295, """"), EQ(G295, """")), 1, 0))"),0.0)</f>
        <v>0</v>
      </c>
      <c r="O295" s="6">
        <f>IFERROR(__xludf.DUMMYFUNCTION("IF(REGEXMATCH(A295, ""^00-""), 0, IF(AND(NE(F295, """"), EQ(G295, """")), 1, 0))"),0.0)</f>
        <v>0</v>
      </c>
      <c r="P295" s="6">
        <f>IFERROR(__xludf.DUMMYFUNCTION("IF(REGEXMATCH(A295, ""^00-""), 0, IF(AND(EQ(F295, """"), NE(G295, """")), 1, 0))"),0.0)</f>
        <v>0</v>
      </c>
      <c r="Q295" s="6">
        <f>IFERROR(__xludf.DUMMYFUNCTION("IF(REGEXMATCH(A295, ""^00-""), 0, IF(AND(NE(F295, """"), NE(G295, """")), 1, 0))"),1.0)</f>
        <v>1</v>
      </c>
      <c r="R295" s="6">
        <f t="shared" si="1"/>
        <v>1</v>
      </c>
    </row>
    <row r="296">
      <c r="A296" s="1" t="s">
        <v>48</v>
      </c>
      <c r="B296" s="1" t="s">
        <v>984</v>
      </c>
      <c r="C296" s="1">
        <v>531.0</v>
      </c>
      <c r="D296" s="1">
        <v>1.0</v>
      </c>
      <c r="E296" s="1">
        <v>532.0</v>
      </c>
      <c r="F296" s="1" t="s">
        <v>985</v>
      </c>
      <c r="G296" s="1" t="s">
        <v>986</v>
      </c>
      <c r="H296" s="1" t="s">
        <v>182</v>
      </c>
      <c r="I296" s="1" t="s">
        <v>172</v>
      </c>
      <c r="J296" s="1" t="s">
        <v>953</v>
      </c>
      <c r="K296" s="1" t="s">
        <v>811</v>
      </c>
      <c r="L296" s="1" t="b">
        <v>1</v>
      </c>
      <c r="M296" s="1" t="s">
        <v>257</v>
      </c>
      <c r="N296" s="6">
        <f>IFERROR(__xludf.DUMMYFUNCTION("IF(REGEXMATCH(A296, ""^00-""), 0, IF(AND(EQ(F296, """"), EQ(G296, """")), 1, 0))"),0.0)</f>
        <v>0</v>
      </c>
      <c r="O296" s="6">
        <f>IFERROR(__xludf.DUMMYFUNCTION("IF(REGEXMATCH(A296, ""^00-""), 0, IF(AND(NE(F296, """"), EQ(G296, """")), 1, 0))"),0.0)</f>
        <v>0</v>
      </c>
      <c r="P296" s="6">
        <f>IFERROR(__xludf.DUMMYFUNCTION("IF(REGEXMATCH(A296, ""^00-""), 0, IF(AND(EQ(F296, """"), NE(G296, """")), 1, 0))"),0.0)</f>
        <v>0</v>
      </c>
      <c r="Q296" s="6">
        <f>IFERROR(__xludf.DUMMYFUNCTION("IF(REGEXMATCH(A296, ""^00-""), 0, IF(AND(NE(F296, """"), NE(G296, """")), 1, 0))"),1.0)</f>
        <v>1</v>
      </c>
      <c r="R296" s="6">
        <f t="shared" si="1"/>
        <v>1</v>
      </c>
    </row>
    <row r="297">
      <c r="A297" s="1" t="s">
        <v>48</v>
      </c>
      <c r="B297" s="1" t="s">
        <v>987</v>
      </c>
      <c r="C297" s="1">
        <v>532.0</v>
      </c>
      <c r="D297" s="1">
        <v>0.0</v>
      </c>
      <c r="E297" s="1">
        <v>532.0</v>
      </c>
      <c r="F297" s="1" t="s">
        <v>988</v>
      </c>
      <c r="G297" s="1" t="s">
        <v>989</v>
      </c>
      <c r="H297" s="1" t="s">
        <v>250</v>
      </c>
      <c r="I297" s="1" t="s">
        <v>172</v>
      </c>
      <c r="J297" s="1" t="s">
        <v>953</v>
      </c>
      <c r="K297" s="1" t="s">
        <v>811</v>
      </c>
      <c r="L297" s="1" t="b">
        <v>1</v>
      </c>
      <c r="M297" s="1" t="s">
        <v>250</v>
      </c>
      <c r="N297" s="6">
        <f>IFERROR(__xludf.DUMMYFUNCTION("IF(REGEXMATCH(A297, ""^00-""), 0, IF(AND(EQ(F297, """"), EQ(G297, """")), 1, 0))"),0.0)</f>
        <v>0</v>
      </c>
      <c r="O297" s="6">
        <f>IFERROR(__xludf.DUMMYFUNCTION("IF(REGEXMATCH(A297, ""^00-""), 0, IF(AND(NE(F297, """"), EQ(G297, """")), 1, 0))"),0.0)</f>
        <v>0</v>
      </c>
      <c r="P297" s="6">
        <f>IFERROR(__xludf.DUMMYFUNCTION("IF(REGEXMATCH(A297, ""^00-""), 0, IF(AND(EQ(F297, """"), NE(G297, """")), 1, 0))"),0.0)</f>
        <v>0</v>
      </c>
      <c r="Q297" s="6">
        <f>IFERROR(__xludf.DUMMYFUNCTION("IF(REGEXMATCH(A297, ""^00-""), 0, IF(AND(NE(F297, """"), NE(G297, """")), 1, 0))"),1.0)</f>
        <v>1</v>
      </c>
      <c r="R297" s="6">
        <f t="shared" si="1"/>
        <v>1</v>
      </c>
    </row>
    <row r="298">
      <c r="A298" s="1" t="s">
        <v>48</v>
      </c>
      <c r="B298" s="1" t="s">
        <v>990</v>
      </c>
      <c r="C298" s="1">
        <v>531.0</v>
      </c>
      <c r="D298" s="1">
        <v>1.0</v>
      </c>
      <c r="E298" s="1">
        <v>532.0</v>
      </c>
      <c r="F298" s="1" t="s">
        <v>991</v>
      </c>
      <c r="G298" s="7" t="s">
        <v>992</v>
      </c>
      <c r="H298" s="1" t="s">
        <v>182</v>
      </c>
      <c r="I298" s="1" t="s">
        <v>172</v>
      </c>
      <c r="J298" s="1" t="s">
        <v>953</v>
      </c>
      <c r="K298" s="1" t="s">
        <v>811</v>
      </c>
      <c r="L298" s="1" t="b">
        <v>1</v>
      </c>
      <c r="M298" s="1" t="s">
        <v>257</v>
      </c>
      <c r="N298" s="6">
        <f>IFERROR(__xludf.DUMMYFUNCTION("IF(REGEXMATCH(A298, ""^00-""), 0, IF(AND(EQ(F298, """"), EQ(G298, """")), 1, 0))"),0.0)</f>
        <v>0</v>
      </c>
      <c r="O298" s="6">
        <f>IFERROR(__xludf.DUMMYFUNCTION("IF(REGEXMATCH(A298, ""^00-""), 0, IF(AND(NE(F298, """"), EQ(G298, """")), 1, 0))"),0.0)</f>
        <v>0</v>
      </c>
      <c r="P298" s="6">
        <f>IFERROR(__xludf.DUMMYFUNCTION("IF(REGEXMATCH(A298, ""^00-""), 0, IF(AND(EQ(F298, """"), NE(G298, """")), 1, 0))"),0.0)</f>
        <v>0</v>
      </c>
      <c r="Q298" s="6">
        <f>IFERROR(__xludf.DUMMYFUNCTION("IF(REGEXMATCH(A298, ""^00-""), 0, IF(AND(NE(F298, """"), NE(G298, """")), 1, 0))"),1.0)</f>
        <v>1</v>
      </c>
      <c r="R298" s="6">
        <f t="shared" si="1"/>
        <v>1</v>
      </c>
    </row>
    <row r="299">
      <c r="A299" s="1" t="s">
        <v>48</v>
      </c>
      <c r="B299" s="1" t="s">
        <v>993</v>
      </c>
      <c r="C299" s="1">
        <v>532.0</v>
      </c>
      <c r="D299" s="1">
        <v>0.0</v>
      </c>
      <c r="E299" s="1">
        <v>532.0</v>
      </c>
      <c r="F299" s="1" t="s">
        <v>994</v>
      </c>
      <c r="G299" s="7" t="s">
        <v>995</v>
      </c>
      <c r="H299" s="1" t="s">
        <v>250</v>
      </c>
      <c r="I299" s="1" t="s">
        <v>172</v>
      </c>
      <c r="J299" s="1" t="s">
        <v>953</v>
      </c>
      <c r="K299" s="1" t="s">
        <v>811</v>
      </c>
      <c r="L299" s="1" t="b">
        <v>1</v>
      </c>
      <c r="M299" s="1" t="s">
        <v>250</v>
      </c>
      <c r="N299" s="6">
        <f>IFERROR(__xludf.DUMMYFUNCTION("IF(REGEXMATCH(A299, ""^00-""), 0, IF(AND(EQ(F299, """"), EQ(G299, """")), 1, 0))"),0.0)</f>
        <v>0</v>
      </c>
      <c r="O299" s="6">
        <f>IFERROR(__xludf.DUMMYFUNCTION("IF(REGEXMATCH(A299, ""^00-""), 0, IF(AND(NE(F299, """"), EQ(G299, """")), 1, 0))"),0.0)</f>
        <v>0</v>
      </c>
      <c r="P299" s="6">
        <f>IFERROR(__xludf.DUMMYFUNCTION("IF(REGEXMATCH(A299, ""^00-""), 0, IF(AND(EQ(F299, """"), NE(G299, """")), 1, 0))"),0.0)</f>
        <v>0</v>
      </c>
      <c r="Q299" s="6">
        <f>IFERROR(__xludf.DUMMYFUNCTION("IF(REGEXMATCH(A299, ""^00-""), 0, IF(AND(NE(F299, """"), NE(G299, """")), 1, 0))"),1.0)</f>
        <v>1</v>
      </c>
      <c r="R299" s="6">
        <f t="shared" si="1"/>
        <v>1</v>
      </c>
    </row>
    <row r="300">
      <c r="A300" s="1" t="s">
        <v>48</v>
      </c>
      <c r="B300" s="1" t="s">
        <v>996</v>
      </c>
      <c r="C300" s="1">
        <v>529.0</v>
      </c>
      <c r="D300" s="1">
        <v>3.0</v>
      </c>
      <c r="E300" s="1">
        <v>532.0</v>
      </c>
      <c r="F300" s="1" t="s">
        <v>997</v>
      </c>
      <c r="G300" s="7" t="s">
        <v>998</v>
      </c>
      <c r="H300" s="1" t="s">
        <v>182</v>
      </c>
      <c r="I300" s="1" t="s">
        <v>172</v>
      </c>
      <c r="J300" s="1" t="s">
        <v>953</v>
      </c>
      <c r="K300" s="1" t="s">
        <v>811</v>
      </c>
      <c r="L300" s="1" t="b">
        <v>1</v>
      </c>
      <c r="M300" s="1" t="s">
        <v>257</v>
      </c>
      <c r="N300" s="6">
        <f>IFERROR(__xludf.DUMMYFUNCTION("IF(REGEXMATCH(A300, ""^00-""), 0, IF(AND(EQ(F300, """"), EQ(G300, """")), 1, 0))"),0.0)</f>
        <v>0</v>
      </c>
      <c r="O300" s="6">
        <f>IFERROR(__xludf.DUMMYFUNCTION("IF(REGEXMATCH(A300, ""^00-""), 0, IF(AND(NE(F300, """"), EQ(G300, """")), 1, 0))"),0.0)</f>
        <v>0</v>
      </c>
      <c r="P300" s="6">
        <f>IFERROR(__xludf.DUMMYFUNCTION("IF(REGEXMATCH(A300, ""^00-""), 0, IF(AND(EQ(F300, """"), NE(G300, """")), 1, 0))"),0.0)</f>
        <v>0</v>
      </c>
      <c r="Q300" s="6">
        <f>IFERROR(__xludf.DUMMYFUNCTION("IF(REGEXMATCH(A300, ""^00-""), 0, IF(AND(NE(F300, """"), NE(G300, """")), 1, 0))"),1.0)</f>
        <v>1</v>
      </c>
      <c r="R300" s="6">
        <f t="shared" si="1"/>
        <v>1</v>
      </c>
    </row>
    <row r="301">
      <c r="A301" s="1" t="s">
        <v>48</v>
      </c>
      <c r="B301" s="1" t="s">
        <v>999</v>
      </c>
      <c r="C301" s="1">
        <v>529.0</v>
      </c>
      <c r="D301" s="1">
        <v>3.0</v>
      </c>
      <c r="E301" s="1">
        <v>532.0</v>
      </c>
      <c r="F301" s="1" t="s">
        <v>1000</v>
      </c>
      <c r="G301" s="1" t="s">
        <v>1001</v>
      </c>
      <c r="H301" s="1" t="s">
        <v>250</v>
      </c>
      <c r="I301" s="1" t="s">
        <v>172</v>
      </c>
      <c r="J301" s="1" t="s">
        <v>953</v>
      </c>
      <c r="K301" s="1" t="s">
        <v>811</v>
      </c>
      <c r="L301" s="1" t="b">
        <v>1</v>
      </c>
      <c r="M301" s="1" t="s">
        <v>250</v>
      </c>
      <c r="N301" s="6">
        <f>IFERROR(__xludf.DUMMYFUNCTION("IF(REGEXMATCH(A301, ""^00-""), 0, IF(AND(EQ(F301, """"), EQ(G301, """")), 1, 0))"),0.0)</f>
        <v>0</v>
      </c>
      <c r="O301" s="6">
        <f>IFERROR(__xludf.DUMMYFUNCTION("IF(REGEXMATCH(A301, ""^00-""), 0, IF(AND(NE(F301, """"), EQ(G301, """")), 1, 0))"),0.0)</f>
        <v>0</v>
      </c>
      <c r="P301" s="6">
        <f>IFERROR(__xludf.DUMMYFUNCTION("IF(REGEXMATCH(A301, ""^00-""), 0, IF(AND(EQ(F301, """"), NE(G301, """")), 1, 0))"),0.0)</f>
        <v>0</v>
      </c>
      <c r="Q301" s="6">
        <f>IFERROR(__xludf.DUMMYFUNCTION("IF(REGEXMATCH(A301, ""^00-""), 0, IF(AND(NE(F301, """"), NE(G301, """")), 1, 0))"),1.0)</f>
        <v>1</v>
      </c>
      <c r="R301" s="6">
        <f t="shared" si="1"/>
        <v>1</v>
      </c>
    </row>
    <row r="302">
      <c r="A302" s="1" t="s">
        <v>48</v>
      </c>
      <c r="B302" s="1" t="s">
        <v>1002</v>
      </c>
      <c r="C302" s="1">
        <v>530.0</v>
      </c>
      <c r="D302" s="1">
        <v>2.0</v>
      </c>
      <c r="E302" s="1">
        <v>532.0</v>
      </c>
      <c r="F302" s="1" t="s">
        <v>1003</v>
      </c>
      <c r="G302" s="1" t="s">
        <v>1004</v>
      </c>
      <c r="H302" s="1" t="s">
        <v>182</v>
      </c>
      <c r="I302" s="1" t="s">
        <v>172</v>
      </c>
      <c r="J302" s="1" t="s">
        <v>953</v>
      </c>
      <c r="K302" s="1" t="s">
        <v>811</v>
      </c>
      <c r="L302" s="1" t="b">
        <v>1</v>
      </c>
      <c r="M302" s="1" t="s">
        <v>257</v>
      </c>
      <c r="N302" s="6">
        <f>IFERROR(__xludf.DUMMYFUNCTION("IF(REGEXMATCH(A302, ""^00-""), 0, IF(AND(EQ(F302, """"), EQ(G302, """")), 1, 0))"),0.0)</f>
        <v>0</v>
      </c>
      <c r="O302" s="6">
        <f>IFERROR(__xludf.DUMMYFUNCTION("IF(REGEXMATCH(A302, ""^00-""), 0, IF(AND(NE(F302, """"), EQ(G302, """")), 1, 0))"),0.0)</f>
        <v>0</v>
      </c>
      <c r="P302" s="6">
        <f>IFERROR(__xludf.DUMMYFUNCTION("IF(REGEXMATCH(A302, ""^00-""), 0, IF(AND(EQ(F302, """"), NE(G302, """")), 1, 0))"),0.0)</f>
        <v>0</v>
      </c>
      <c r="Q302" s="6">
        <f>IFERROR(__xludf.DUMMYFUNCTION("IF(REGEXMATCH(A302, ""^00-""), 0, IF(AND(NE(F302, """"), NE(G302, """")), 1, 0))"),1.0)</f>
        <v>1</v>
      </c>
      <c r="R302" s="6">
        <f t="shared" si="1"/>
        <v>1</v>
      </c>
    </row>
    <row r="303">
      <c r="A303" s="1" t="s">
        <v>48</v>
      </c>
      <c r="B303" s="1" t="s">
        <v>1005</v>
      </c>
      <c r="C303" s="1">
        <v>529.0</v>
      </c>
      <c r="D303" s="1">
        <v>3.0</v>
      </c>
      <c r="E303" s="1">
        <v>532.0</v>
      </c>
      <c r="F303" s="1" t="s">
        <v>1006</v>
      </c>
      <c r="G303" s="1" t="s">
        <v>1007</v>
      </c>
      <c r="H303" s="1" t="s">
        <v>250</v>
      </c>
      <c r="I303" s="1" t="s">
        <v>172</v>
      </c>
      <c r="J303" s="1" t="s">
        <v>953</v>
      </c>
      <c r="K303" s="1" t="s">
        <v>811</v>
      </c>
      <c r="L303" s="1" t="b">
        <v>1</v>
      </c>
      <c r="M303" s="1" t="s">
        <v>250</v>
      </c>
      <c r="N303" s="6">
        <f>IFERROR(__xludf.DUMMYFUNCTION("IF(REGEXMATCH(A303, ""^00-""), 0, IF(AND(EQ(F303, """"), EQ(G303, """")), 1, 0))"),0.0)</f>
        <v>0</v>
      </c>
      <c r="O303" s="6">
        <f>IFERROR(__xludf.DUMMYFUNCTION("IF(REGEXMATCH(A303, ""^00-""), 0, IF(AND(NE(F303, """"), EQ(G303, """")), 1, 0))"),0.0)</f>
        <v>0</v>
      </c>
      <c r="P303" s="6">
        <f>IFERROR(__xludf.DUMMYFUNCTION("IF(REGEXMATCH(A303, ""^00-""), 0, IF(AND(EQ(F303, """"), NE(G303, """")), 1, 0))"),0.0)</f>
        <v>0</v>
      </c>
      <c r="Q303" s="6">
        <f>IFERROR(__xludf.DUMMYFUNCTION("IF(REGEXMATCH(A303, ""^00-""), 0, IF(AND(NE(F303, """"), NE(G303, """")), 1, 0))"),1.0)</f>
        <v>1</v>
      </c>
      <c r="R303" s="6">
        <f t="shared" si="1"/>
        <v>1</v>
      </c>
    </row>
    <row r="304">
      <c r="A304" s="1" t="s">
        <v>48</v>
      </c>
      <c r="B304" s="1" t="s">
        <v>1008</v>
      </c>
      <c r="C304" s="1">
        <v>486.0</v>
      </c>
      <c r="D304" s="1">
        <v>46.0</v>
      </c>
      <c r="E304" s="1">
        <v>532.0</v>
      </c>
      <c r="F304" s="1" t="s">
        <v>1009</v>
      </c>
      <c r="G304" s="1" t="s">
        <v>1010</v>
      </c>
      <c r="H304" s="1" t="s">
        <v>182</v>
      </c>
      <c r="I304" s="1" t="s">
        <v>172</v>
      </c>
      <c r="J304" s="1" t="s">
        <v>953</v>
      </c>
      <c r="K304" s="1" t="s">
        <v>811</v>
      </c>
      <c r="L304" s="1" t="b">
        <v>1</v>
      </c>
      <c r="M304" s="1" t="s">
        <v>257</v>
      </c>
      <c r="N304" s="6">
        <f>IFERROR(__xludf.DUMMYFUNCTION("IF(REGEXMATCH(A304, ""^00-""), 0, IF(AND(EQ(F304, """"), EQ(G304, """")), 1, 0))"),0.0)</f>
        <v>0</v>
      </c>
      <c r="O304" s="6">
        <f>IFERROR(__xludf.DUMMYFUNCTION("IF(REGEXMATCH(A304, ""^00-""), 0, IF(AND(NE(F304, """"), EQ(G304, """")), 1, 0))"),0.0)</f>
        <v>0</v>
      </c>
      <c r="P304" s="6">
        <f>IFERROR(__xludf.DUMMYFUNCTION("IF(REGEXMATCH(A304, ""^00-""), 0, IF(AND(EQ(F304, """"), NE(G304, """")), 1, 0))"),0.0)</f>
        <v>0</v>
      </c>
      <c r="Q304" s="6">
        <f>IFERROR(__xludf.DUMMYFUNCTION("IF(REGEXMATCH(A304, ""^00-""), 0, IF(AND(NE(F304, """"), NE(G304, """")), 1, 0))"),1.0)</f>
        <v>1</v>
      </c>
      <c r="R304" s="6">
        <f t="shared" si="1"/>
        <v>1</v>
      </c>
    </row>
    <row r="305">
      <c r="A305" s="1" t="s">
        <v>48</v>
      </c>
      <c r="B305" s="1" t="s">
        <v>1011</v>
      </c>
      <c r="C305" s="1">
        <v>486.0</v>
      </c>
      <c r="D305" s="1">
        <v>46.0</v>
      </c>
      <c r="E305" s="1">
        <v>532.0</v>
      </c>
      <c r="F305" s="1" t="s">
        <v>1012</v>
      </c>
      <c r="G305" s="1" t="s">
        <v>1013</v>
      </c>
      <c r="H305" s="1" t="s">
        <v>250</v>
      </c>
      <c r="I305" s="1" t="s">
        <v>172</v>
      </c>
      <c r="J305" s="1" t="s">
        <v>953</v>
      </c>
      <c r="K305" s="1" t="s">
        <v>811</v>
      </c>
      <c r="L305" s="1" t="b">
        <v>1</v>
      </c>
      <c r="M305" s="1" t="s">
        <v>250</v>
      </c>
      <c r="N305" s="6">
        <f>IFERROR(__xludf.DUMMYFUNCTION("IF(REGEXMATCH(A305, ""^00-""), 0, IF(AND(EQ(F305, """"), EQ(G305, """")), 1, 0))"),0.0)</f>
        <v>0</v>
      </c>
      <c r="O305" s="6">
        <f>IFERROR(__xludf.DUMMYFUNCTION("IF(REGEXMATCH(A305, ""^00-""), 0, IF(AND(NE(F305, """"), EQ(G305, """")), 1, 0))"),0.0)</f>
        <v>0</v>
      </c>
      <c r="P305" s="6">
        <f>IFERROR(__xludf.DUMMYFUNCTION("IF(REGEXMATCH(A305, ""^00-""), 0, IF(AND(EQ(F305, """"), NE(G305, """")), 1, 0))"),0.0)</f>
        <v>0</v>
      </c>
      <c r="Q305" s="6">
        <f>IFERROR(__xludf.DUMMYFUNCTION("IF(REGEXMATCH(A305, ""^00-""), 0, IF(AND(NE(F305, """"), NE(G305, """")), 1, 0))"),1.0)</f>
        <v>1</v>
      </c>
      <c r="R305" s="6">
        <f t="shared" si="1"/>
        <v>1</v>
      </c>
    </row>
    <row r="306">
      <c r="A306" s="1" t="s">
        <v>48</v>
      </c>
      <c r="B306" s="1" t="s">
        <v>1014</v>
      </c>
      <c r="C306" s="1">
        <v>364.0</v>
      </c>
      <c r="D306" s="1">
        <v>168.0</v>
      </c>
      <c r="E306" s="1">
        <v>532.0</v>
      </c>
      <c r="F306" s="1" t="s">
        <v>1015</v>
      </c>
      <c r="G306" s="1" t="s">
        <v>1016</v>
      </c>
      <c r="H306" s="1" t="s">
        <v>182</v>
      </c>
      <c r="I306" s="1" t="s">
        <v>172</v>
      </c>
      <c r="J306" s="1" t="s">
        <v>953</v>
      </c>
      <c r="K306" s="1" t="s">
        <v>811</v>
      </c>
      <c r="L306" s="1" t="b">
        <v>1</v>
      </c>
      <c r="M306" s="1" t="s">
        <v>257</v>
      </c>
      <c r="N306" s="6">
        <f>IFERROR(__xludf.DUMMYFUNCTION("IF(REGEXMATCH(A306, ""^00-""), 0, IF(AND(EQ(F306, """"), EQ(G306, """")), 1, 0))"),0.0)</f>
        <v>0</v>
      </c>
      <c r="O306" s="6">
        <f>IFERROR(__xludf.DUMMYFUNCTION("IF(REGEXMATCH(A306, ""^00-""), 0, IF(AND(NE(F306, """"), EQ(G306, """")), 1, 0))"),0.0)</f>
        <v>0</v>
      </c>
      <c r="P306" s="6">
        <f>IFERROR(__xludf.DUMMYFUNCTION("IF(REGEXMATCH(A306, ""^00-""), 0, IF(AND(EQ(F306, """"), NE(G306, """")), 1, 0))"),0.0)</f>
        <v>0</v>
      </c>
      <c r="Q306" s="6">
        <f>IFERROR(__xludf.DUMMYFUNCTION("IF(REGEXMATCH(A306, ""^00-""), 0, IF(AND(NE(F306, """"), NE(G306, """")), 1, 0))"),1.0)</f>
        <v>1</v>
      </c>
      <c r="R306" s="6">
        <f t="shared" si="1"/>
        <v>1</v>
      </c>
    </row>
    <row r="307">
      <c r="A307" s="1" t="s">
        <v>48</v>
      </c>
      <c r="B307" s="1" t="s">
        <v>1017</v>
      </c>
      <c r="C307" s="1">
        <v>364.0</v>
      </c>
      <c r="D307" s="1">
        <v>168.0</v>
      </c>
      <c r="E307" s="1">
        <v>532.0</v>
      </c>
      <c r="F307" s="1" t="s">
        <v>1018</v>
      </c>
      <c r="G307" s="1" t="s">
        <v>1019</v>
      </c>
      <c r="H307" s="1" t="s">
        <v>250</v>
      </c>
      <c r="I307" s="1" t="s">
        <v>172</v>
      </c>
      <c r="J307" s="1" t="s">
        <v>953</v>
      </c>
      <c r="K307" s="1" t="s">
        <v>811</v>
      </c>
      <c r="L307" s="1" t="b">
        <v>1</v>
      </c>
      <c r="M307" s="1" t="s">
        <v>250</v>
      </c>
      <c r="N307" s="6">
        <f>IFERROR(__xludf.DUMMYFUNCTION("IF(REGEXMATCH(A307, ""^00-""), 0, IF(AND(EQ(F307, """"), EQ(G307, """")), 1, 0))"),0.0)</f>
        <v>0</v>
      </c>
      <c r="O307" s="6">
        <f>IFERROR(__xludf.DUMMYFUNCTION("IF(REGEXMATCH(A307, ""^00-""), 0, IF(AND(NE(F307, """"), EQ(G307, """")), 1, 0))"),0.0)</f>
        <v>0</v>
      </c>
      <c r="P307" s="6">
        <f>IFERROR(__xludf.DUMMYFUNCTION("IF(REGEXMATCH(A307, ""^00-""), 0, IF(AND(EQ(F307, """"), NE(G307, """")), 1, 0))"),0.0)</f>
        <v>0</v>
      </c>
      <c r="Q307" s="6">
        <f>IFERROR(__xludf.DUMMYFUNCTION("IF(REGEXMATCH(A307, ""^00-""), 0, IF(AND(NE(F307, """"), NE(G307, """")), 1, 0))"),1.0)</f>
        <v>1</v>
      </c>
      <c r="R307" s="6">
        <f t="shared" si="1"/>
        <v>1</v>
      </c>
    </row>
    <row r="308">
      <c r="A308" s="1" t="s">
        <v>48</v>
      </c>
      <c r="B308" s="1" t="s">
        <v>1020</v>
      </c>
      <c r="C308" s="1">
        <v>326.0</v>
      </c>
      <c r="D308" s="1">
        <v>206.0</v>
      </c>
      <c r="E308" s="1">
        <v>532.0</v>
      </c>
      <c r="F308" s="1"/>
      <c r="G308" s="1" t="s">
        <v>1021</v>
      </c>
      <c r="H308" s="1" t="s">
        <v>182</v>
      </c>
      <c r="I308" s="1" t="s">
        <v>172</v>
      </c>
      <c r="J308" s="1" t="s">
        <v>953</v>
      </c>
      <c r="K308" s="1" t="s">
        <v>811</v>
      </c>
      <c r="L308" s="1" t="b">
        <v>1</v>
      </c>
      <c r="M308" s="1" t="s">
        <v>257</v>
      </c>
      <c r="N308" s="6">
        <f>IFERROR(__xludf.DUMMYFUNCTION("IF(REGEXMATCH(A308, ""^00-""), 0, IF(AND(EQ(F308, """"), EQ(G308, """")), 1, 0))"),0.0)</f>
        <v>0</v>
      </c>
      <c r="O308" s="6">
        <f>IFERROR(__xludf.DUMMYFUNCTION("IF(REGEXMATCH(A308, ""^00-""), 0, IF(AND(NE(F308, """"), EQ(G308, """")), 1, 0))"),0.0)</f>
        <v>0</v>
      </c>
      <c r="P308" s="6">
        <f>IFERROR(__xludf.DUMMYFUNCTION("IF(REGEXMATCH(A308, ""^00-""), 0, IF(AND(EQ(F308, """"), NE(G308, """")), 1, 0))"),1.0)</f>
        <v>1</v>
      </c>
      <c r="Q308" s="6">
        <f>IFERROR(__xludf.DUMMYFUNCTION("IF(REGEXMATCH(A308, ""^00-""), 0, IF(AND(NE(F308, """"), NE(G308, """")), 1, 0))"),0.0)</f>
        <v>0</v>
      </c>
      <c r="R308" s="6">
        <f t="shared" si="1"/>
        <v>1</v>
      </c>
    </row>
    <row r="309">
      <c r="A309" s="1" t="s">
        <v>48</v>
      </c>
      <c r="B309" s="1" t="s">
        <v>1022</v>
      </c>
      <c r="C309" s="1">
        <v>326.0</v>
      </c>
      <c r="D309" s="1">
        <v>206.0</v>
      </c>
      <c r="E309" s="1">
        <v>532.0</v>
      </c>
      <c r="F309" s="1"/>
      <c r="G309" s="1" t="s">
        <v>1023</v>
      </c>
      <c r="H309" s="1" t="s">
        <v>250</v>
      </c>
      <c r="I309" s="1" t="s">
        <v>172</v>
      </c>
      <c r="J309" s="1" t="s">
        <v>953</v>
      </c>
      <c r="K309" s="1" t="s">
        <v>811</v>
      </c>
      <c r="L309" s="1" t="b">
        <v>1</v>
      </c>
      <c r="M309" s="1" t="s">
        <v>250</v>
      </c>
      <c r="N309" s="6">
        <f>IFERROR(__xludf.DUMMYFUNCTION("IF(REGEXMATCH(A309, ""^00-""), 0, IF(AND(EQ(F309, """"), EQ(G309, """")), 1, 0))"),0.0)</f>
        <v>0</v>
      </c>
      <c r="O309" s="6">
        <f>IFERROR(__xludf.DUMMYFUNCTION("IF(REGEXMATCH(A309, ""^00-""), 0, IF(AND(NE(F309, """"), EQ(G309, """")), 1, 0))"),0.0)</f>
        <v>0</v>
      </c>
      <c r="P309" s="6">
        <f>IFERROR(__xludf.DUMMYFUNCTION("IF(REGEXMATCH(A309, ""^00-""), 0, IF(AND(EQ(F309, """"), NE(G309, """")), 1, 0))"),1.0)</f>
        <v>1</v>
      </c>
      <c r="Q309" s="6">
        <f>IFERROR(__xludf.DUMMYFUNCTION("IF(REGEXMATCH(A309, ""^00-""), 0, IF(AND(NE(F309, """"), NE(G309, """")), 1, 0))"),0.0)</f>
        <v>0</v>
      </c>
      <c r="R309" s="6">
        <f t="shared" si="1"/>
        <v>1</v>
      </c>
    </row>
    <row r="310">
      <c r="A310" s="1" t="s">
        <v>48</v>
      </c>
      <c r="B310" s="1" t="s">
        <v>1024</v>
      </c>
      <c r="C310" s="1">
        <v>331.0</v>
      </c>
      <c r="D310" s="1">
        <v>201.0</v>
      </c>
      <c r="E310" s="1">
        <v>532.0</v>
      </c>
      <c r="F310" s="1"/>
      <c r="G310" s="1" t="s">
        <v>1025</v>
      </c>
      <c r="H310" s="1" t="s">
        <v>182</v>
      </c>
      <c r="I310" s="1" t="s">
        <v>172</v>
      </c>
      <c r="J310" s="1" t="s">
        <v>953</v>
      </c>
      <c r="K310" s="1" t="s">
        <v>811</v>
      </c>
      <c r="L310" s="1" t="b">
        <v>1</v>
      </c>
      <c r="M310" s="1" t="s">
        <v>257</v>
      </c>
      <c r="N310" s="6">
        <f>IFERROR(__xludf.DUMMYFUNCTION("IF(REGEXMATCH(A310, ""^00-""), 0, IF(AND(EQ(F310, """"), EQ(G310, """")), 1, 0))"),0.0)</f>
        <v>0</v>
      </c>
      <c r="O310" s="6">
        <f>IFERROR(__xludf.DUMMYFUNCTION("IF(REGEXMATCH(A310, ""^00-""), 0, IF(AND(NE(F310, """"), EQ(G310, """")), 1, 0))"),0.0)</f>
        <v>0</v>
      </c>
      <c r="P310" s="6">
        <f>IFERROR(__xludf.DUMMYFUNCTION("IF(REGEXMATCH(A310, ""^00-""), 0, IF(AND(EQ(F310, """"), NE(G310, """")), 1, 0))"),1.0)</f>
        <v>1</v>
      </c>
      <c r="Q310" s="6">
        <f>IFERROR(__xludf.DUMMYFUNCTION("IF(REGEXMATCH(A310, ""^00-""), 0, IF(AND(NE(F310, """"), NE(G310, """")), 1, 0))"),0.0)</f>
        <v>0</v>
      </c>
      <c r="R310" s="6">
        <f t="shared" si="1"/>
        <v>1</v>
      </c>
    </row>
    <row r="311">
      <c r="A311" s="1" t="s">
        <v>48</v>
      </c>
      <c r="B311" s="1" t="s">
        <v>1026</v>
      </c>
      <c r="C311" s="1">
        <v>331.0</v>
      </c>
      <c r="D311" s="1">
        <v>201.0</v>
      </c>
      <c r="E311" s="1">
        <v>532.0</v>
      </c>
      <c r="F311" s="1"/>
      <c r="G311" s="1" t="s">
        <v>1027</v>
      </c>
      <c r="H311" s="1" t="s">
        <v>250</v>
      </c>
      <c r="I311" s="1" t="s">
        <v>172</v>
      </c>
      <c r="J311" s="1" t="s">
        <v>953</v>
      </c>
      <c r="K311" s="1" t="s">
        <v>811</v>
      </c>
      <c r="L311" s="1" t="b">
        <v>1</v>
      </c>
      <c r="M311" s="1" t="s">
        <v>250</v>
      </c>
      <c r="N311" s="6">
        <f>IFERROR(__xludf.DUMMYFUNCTION("IF(REGEXMATCH(A311, ""^00-""), 0, IF(AND(EQ(F311, """"), EQ(G311, """")), 1, 0))"),0.0)</f>
        <v>0</v>
      </c>
      <c r="O311" s="6">
        <f>IFERROR(__xludf.DUMMYFUNCTION("IF(REGEXMATCH(A311, ""^00-""), 0, IF(AND(NE(F311, """"), EQ(G311, """")), 1, 0))"),0.0)</f>
        <v>0</v>
      </c>
      <c r="P311" s="6">
        <f>IFERROR(__xludf.DUMMYFUNCTION("IF(REGEXMATCH(A311, ""^00-""), 0, IF(AND(EQ(F311, """"), NE(G311, """")), 1, 0))"),1.0)</f>
        <v>1</v>
      </c>
      <c r="Q311" s="6">
        <f>IFERROR(__xludf.DUMMYFUNCTION("IF(REGEXMATCH(A311, ""^00-""), 0, IF(AND(NE(F311, """"), NE(G311, """")), 1, 0))"),0.0)</f>
        <v>0</v>
      </c>
      <c r="R311" s="6">
        <f t="shared" si="1"/>
        <v>1</v>
      </c>
    </row>
    <row r="312">
      <c r="A312" s="1" t="s">
        <v>48</v>
      </c>
      <c r="B312" s="1" t="s">
        <v>1028</v>
      </c>
      <c r="C312" s="1">
        <v>346.0</v>
      </c>
      <c r="D312" s="1">
        <v>186.0</v>
      </c>
      <c r="E312" s="1">
        <v>532.0</v>
      </c>
      <c r="F312" s="1"/>
      <c r="G312" s="1" t="s">
        <v>1029</v>
      </c>
      <c r="H312" s="1" t="s">
        <v>182</v>
      </c>
      <c r="I312" s="1" t="s">
        <v>172</v>
      </c>
      <c r="J312" s="1" t="s">
        <v>953</v>
      </c>
      <c r="K312" s="1" t="s">
        <v>811</v>
      </c>
      <c r="L312" s="1" t="b">
        <v>1</v>
      </c>
      <c r="M312" s="1" t="s">
        <v>257</v>
      </c>
      <c r="N312" s="6">
        <f>IFERROR(__xludf.DUMMYFUNCTION("IF(REGEXMATCH(A312, ""^00-""), 0, IF(AND(EQ(F312, """"), EQ(G312, """")), 1, 0))"),0.0)</f>
        <v>0</v>
      </c>
      <c r="O312" s="6">
        <f>IFERROR(__xludf.DUMMYFUNCTION("IF(REGEXMATCH(A312, ""^00-""), 0, IF(AND(NE(F312, """"), EQ(G312, """")), 1, 0))"),0.0)</f>
        <v>0</v>
      </c>
      <c r="P312" s="6">
        <f>IFERROR(__xludf.DUMMYFUNCTION("IF(REGEXMATCH(A312, ""^00-""), 0, IF(AND(EQ(F312, """"), NE(G312, """")), 1, 0))"),1.0)</f>
        <v>1</v>
      </c>
      <c r="Q312" s="6">
        <f>IFERROR(__xludf.DUMMYFUNCTION("IF(REGEXMATCH(A312, ""^00-""), 0, IF(AND(NE(F312, """"), NE(G312, """")), 1, 0))"),0.0)</f>
        <v>0</v>
      </c>
      <c r="R312" s="6">
        <f t="shared" si="1"/>
        <v>1</v>
      </c>
    </row>
    <row r="313">
      <c r="A313" s="1" t="s">
        <v>48</v>
      </c>
      <c r="B313" s="1" t="s">
        <v>1030</v>
      </c>
      <c r="C313" s="1">
        <v>346.0</v>
      </c>
      <c r="D313" s="1">
        <v>186.0</v>
      </c>
      <c r="E313" s="1">
        <v>532.0</v>
      </c>
      <c r="F313" s="1"/>
      <c r="G313" s="1" t="s">
        <v>1031</v>
      </c>
      <c r="H313" s="1" t="s">
        <v>250</v>
      </c>
      <c r="I313" s="1" t="s">
        <v>172</v>
      </c>
      <c r="J313" s="1" t="s">
        <v>953</v>
      </c>
      <c r="K313" s="1" t="s">
        <v>811</v>
      </c>
      <c r="L313" s="1" t="b">
        <v>1</v>
      </c>
      <c r="M313" s="1" t="s">
        <v>250</v>
      </c>
      <c r="N313" s="6">
        <f>IFERROR(__xludf.DUMMYFUNCTION("IF(REGEXMATCH(A313, ""^00-""), 0, IF(AND(EQ(F313, """"), EQ(G313, """")), 1, 0))"),0.0)</f>
        <v>0</v>
      </c>
      <c r="O313" s="6">
        <f>IFERROR(__xludf.DUMMYFUNCTION("IF(REGEXMATCH(A313, ""^00-""), 0, IF(AND(NE(F313, """"), EQ(G313, """")), 1, 0))"),0.0)</f>
        <v>0</v>
      </c>
      <c r="P313" s="6">
        <f>IFERROR(__xludf.DUMMYFUNCTION("IF(REGEXMATCH(A313, ""^00-""), 0, IF(AND(EQ(F313, """"), NE(G313, """")), 1, 0))"),1.0)</f>
        <v>1</v>
      </c>
      <c r="Q313" s="6">
        <f>IFERROR(__xludf.DUMMYFUNCTION("IF(REGEXMATCH(A313, ""^00-""), 0, IF(AND(NE(F313, """"), NE(G313, """")), 1, 0))"),0.0)</f>
        <v>0</v>
      </c>
      <c r="R313" s="6">
        <f t="shared" si="1"/>
        <v>1</v>
      </c>
    </row>
    <row r="314">
      <c r="A314" s="1" t="s">
        <v>48</v>
      </c>
      <c r="B314" s="1" t="s">
        <v>1032</v>
      </c>
      <c r="C314" s="1">
        <v>515.0</v>
      </c>
      <c r="D314" s="1">
        <v>17.0</v>
      </c>
      <c r="E314" s="1">
        <v>532.0</v>
      </c>
      <c r="F314" s="1" t="s">
        <v>1033</v>
      </c>
      <c r="G314" s="1" t="s">
        <v>1034</v>
      </c>
      <c r="H314" s="1" t="s">
        <v>182</v>
      </c>
      <c r="I314" s="1" t="s">
        <v>172</v>
      </c>
      <c r="J314" s="1" t="s">
        <v>953</v>
      </c>
      <c r="K314" s="1" t="s">
        <v>811</v>
      </c>
      <c r="L314" s="1" t="b">
        <v>1</v>
      </c>
      <c r="M314" s="1" t="s">
        <v>257</v>
      </c>
      <c r="N314" s="6">
        <f>IFERROR(__xludf.DUMMYFUNCTION("IF(REGEXMATCH(A314, ""^00-""), 0, IF(AND(EQ(F314, """"), EQ(G314, """")), 1, 0))"),0.0)</f>
        <v>0</v>
      </c>
      <c r="O314" s="6">
        <f>IFERROR(__xludf.DUMMYFUNCTION("IF(REGEXMATCH(A314, ""^00-""), 0, IF(AND(NE(F314, """"), EQ(G314, """")), 1, 0))"),0.0)</f>
        <v>0</v>
      </c>
      <c r="P314" s="6">
        <f>IFERROR(__xludf.DUMMYFUNCTION("IF(REGEXMATCH(A314, ""^00-""), 0, IF(AND(EQ(F314, """"), NE(G314, """")), 1, 0))"),0.0)</f>
        <v>0</v>
      </c>
      <c r="Q314" s="6">
        <f>IFERROR(__xludf.DUMMYFUNCTION("IF(REGEXMATCH(A314, ""^00-""), 0, IF(AND(NE(F314, """"), NE(G314, """")), 1, 0))"),1.0)</f>
        <v>1</v>
      </c>
      <c r="R314" s="6">
        <f t="shared" si="1"/>
        <v>1</v>
      </c>
    </row>
    <row r="315">
      <c r="A315" s="1" t="s">
        <v>48</v>
      </c>
      <c r="B315" s="1" t="s">
        <v>1035</v>
      </c>
      <c r="C315" s="1">
        <v>515.0</v>
      </c>
      <c r="D315" s="1">
        <v>17.0</v>
      </c>
      <c r="E315" s="1">
        <v>532.0</v>
      </c>
      <c r="F315" s="1" t="s">
        <v>1036</v>
      </c>
      <c r="G315" s="1" t="s">
        <v>1037</v>
      </c>
      <c r="H315" s="1" t="s">
        <v>250</v>
      </c>
      <c r="I315" s="1" t="s">
        <v>172</v>
      </c>
      <c r="J315" s="1" t="s">
        <v>953</v>
      </c>
      <c r="K315" s="1" t="s">
        <v>811</v>
      </c>
      <c r="L315" s="1" t="b">
        <v>1</v>
      </c>
      <c r="M315" s="1" t="s">
        <v>250</v>
      </c>
      <c r="N315" s="6">
        <f>IFERROR(__xludf.DUMMYFUNCTION("IF(REGEXMATCH(A315, ""^00-""), 0, IF(AND(EQ(F315, """"), EQ(G315, """")), 1, 0))"),0.0)</f>
        <v>0</v>
      </c>
      <c r="O315" s="6">
        <f>IFERROR(__xludf.DUMMYFUNCTION("IF(REGEXMATCH(A315, ""^00-""), 0, IF(AND(NE(F315, """"), EQ(G315, """")), 1, 0))"),0.0)</f>
        <v>0</v>
      </c>
      <c r="P315" s="6">
        <f>IFERROR(__xludf.DUMMYFUNCTION("IF(REGEXMATCH(A315, ""^00-""), 0, IF(AND(EQ(F315, """"), NE(G315, """")), 1, 0))"),0.0)</f>
        <v>0</v>
      </c>
      <c r="Q315" s="6">
        <f>IFERROR(__xludf.DUMMYFUNCTION("IF(REGEXMATCH(A315, ""^00-""), 0, IF(AND(NE(F315, """"), NE(G315, """")), 1, 0))"),1.0)</f>
        <v>1</v>
      </c>
      <c r="R315" s="6">
        <f t="shared" si="1"/>
        <v>1</v>
      </c>
    </row>
    <row r="316">
      <c r="A316" s="1" t="s">
        <v>48</v>
      </c>
      <c r="B316" s="1" t="s">
        <v>1038</v>
      </c>
      <c r="C316" s="1">
        <v>514.0</v>
      </c>
      <c r="D316" s="1">
        <v>18.0</v>
      </c>
      <c r="E316" s="1">
        <v>532.0</v>
      </c>
      <c r="F316" s="1" t="s">
        <v>1039</v>
      </c>
      <c r="G316" s="1" t="s">
        <v>1040</v>
      </c>
      <c r="H316" s="1" t="s">
        <v>182</v>
      </c>
      <c r="I316" s="1" t="s">
        <v>172</v>
      </c>
      <c r="J316" s="1" t="s">
        <v>953</v>
      </c>
      <c r="K316" s="1" t="s">
        <v>811</v>
      </c>
      <c r="L316" s="1" t="b">
        <v>1</v>
      </c>
      <c r="M316" s="1" t="s">
        <v>257</v>
      </c>
      <c r="N316" s="6">
        <f>IFERROR(__xludf.DUMMYFUNCTION("IF(REGEXMATCH(A316, ""^00-""), 0, IF(AND(EQ(F316, """"), EQ(G316, """")), 1, 0))"),0.0)</f>
        <v>0</v>
      </c>
      <c r="O316" s="6">
        <f>IFERROR(__xludf.DUMMYFUNCTION("IF(REGEXMATCH(A316, ""^00-""), 0, IF(AND(NE(F316, """"), EQ(G316, """")), 1, 0))"),0.0)</f>
        <v>0</v>
      </c>
      <c r="P316" s="6">
        <f>IFERROR(__xludf.DUMMYFUNCTION("IF(REGEXMATCH(A316, ""^00-""), 0, IF(AND(EQ(F316, """"), NE(G316, """")), 1, 0))"),0.0)</f>
        <v>0</v>
      </c>
      <c r="Q316" s="6">
        <f>IFERROR(__xludf.DUMMYFUNCTION("IF(REGEXMATCH(A316, ""^00-""), 0, IF(AND(NE(F316, """"), NE(G316, """")), 1, 0))"),1.0)</f>
        <v>1</v>
      </c>
      <c r="R316" s="6">
        <f t="shared" si="1"/>
        <v>1</v>
      </c>
    </row>
    <row r="317">
      <c r="A317" s="1" t="s">
        <v>48</v>
      </c>
      <c r="B317" s="1" t="s">
        <v>1041</v>
      </c>
      <c r="C317" s="1">
        <v>514.0</v>
      </c>
      <c r="D317" s="1">
        <v>18.0</v>
      </c>
      <c r="E317" s="1">
        <v>532.0</v>
      </c>
      <c r="F317" s="1" t="s">
        <v>1042</v>
      </c>
      <c r="G317" s="1" t="s">
        <v>1043</v>
      </c>
      <c r="H317" s="1" t="s">
        <v>250</v>
      </c>
      <c r="I317" s="1" t="s">
        <v>172</v>
      </c>
      <c r="J317" s="1" t="s">
        <v>953</v>
      </c>
      <c r="K317" s="1" t="s">
        <v>811</v>
      </c>
      <c r="L317" s="1" t="b">
        <v>1</v>
      </c>
      <c r="M317" s="1" t="s">
        <v>250</v>
      </c>
      <c r="N317" s="6">
        <f>IFERROR(__xludf.DUMMYFUNCTION("IF(REGEXMATCH(A317, ""^00-""), 0, IF(AND(EQ(F317, """"), EQ(G317, """")), 1, 0))"),0.0)</f>
        <v>0</v>
      </c>
      <c r="O317" s="6">
        <f>IFERROR(__xludf.DUMMYFUNCTION("IF(REGEXMATCH(A317, ""^00-""), 0, IF(AND(NE(F317, """"), EQ(G317, """")), 1, 0))"),0.0)</f>
        <v>0</v>
      </c>
      <c r="P317" s="6">
        <f>IFERROR(__xludf.DUMMYFUNCTION("IF(REGEXMATCH(A317, ""^00-""), 0, IF(AND(EQ(F317, """"), NE(G317, """")), 1, 0))"),0.0)</f>
        <v>0</v>
      </c>
      <c r="Q317" s="6">
        <f>IFERROR(__xludf.DUMMYFUNCTION("IF(REGEXMATCH(A317, ""^00-""), 0, IF(AND(NE(F317, """"), NE(G317, """")), 1, 0))"),1.0)</f>
        <v>1</v>
      </c>
      <c r="R317" s="6">
        <f t="shared" si="1"/>
        <v>1</v>
      </c>
    </row>
    <row r="318">
      <c r="A318" s="1" t="s">
        <v>48</v>
      </c>
      <c r="B318" s="1" t="s">
        <v>1044</v>
      </c>
      <c r="C318" s="1">
        <v>531.0</v>
      </c>
      <c r="D318" s="1">
        <v>1.0</v>
      </c>
      <c r="E318" s="1">
        <v>532.0</v>
      </c>
      <c r="F318" s="1" t="s">
        <v>1045</v>
      </c>
      <c r="G318" s="1" t="s">
        <v>1046</v>
      </c>
      <c r="H318" s="1" t="s">
        <v>182</v>
      </c>
      <c r="I318" s="1" t="s">
        <v>172</v>
      </c>
      <c r="J318" s="1" t="s">
        <v>953</v>
      </c>
      <c r="K318" s="1" t="s">
        <v>811</v>
      </c>
      <c r="L318" s="1" t="b">
        <v>1</v>
      </c>
      <c r="M318" s="1" t="s">
        <v>257</v>
      </c>
      <c r="N318" s="6">
        <f>IFERROR(__xludf.DUMMYFUNCTION("IF(REGEXMATCH(A318, ""^00-""), 0, IF(AND(EQ(F318, """"), EQ(G318, """")), 1, 0))"),0.0)</f>
        <v>0</v>
      </c>
      <c r="O318" s="6">
        <f>IFERROR(__xludf.DUMMYFUNCTION("IF(REGEXMATCH(A318, ""^00-""), 0, IF(AND(NE(F318, """"), EQ(G318, """")), 1, 0))"),0.0)</f>
        <v>0</v>
      </c>
      <c r="P318" s="6">
        <f>IFERROR(__xludf.DUMMYFUNCTION("IF(REGEXMATCH(A318, ""^00-""), 0, IF(AND(EQ(F318, """"), NE(G318, """")), 1, 0))"),0.0)</f>
        <v>0</v>
      </c>
      <c r="Q318" s="6">
        <f>IFERROR(__xludf.DUMMYFUNCTION("IF(REGEXMATCH(A318, ""^00-""), 0, IF(AND(NE(F318, """"), NE(G318, """")), 1, 0))"),1.0)</f>
        <v>1</v>
      </c>
      <c r="R318" s="6">
        <f t="shared" si="1"/>
        <v>1</v>
      </c>
    </row>
    <row r="319">
      <c r="A319" s="1" t="s">
        <v>48</v>
      </c>
      <c r="B319" s="1" t="s">
        <v>1047</v>
      </c>
      <c r="C319" s="1">
        <v>531.0</v>
      </c>
      <c r="D319" s="1">
        <v>1.0</v>
      </c>
      <c r="E319" s="1">
        <v>532.0</v>
      </c>
      <c r="F319" s="1" t="s">
        <v>1048</v>
      </c>
      <c r="G319" s="1" t="s">
        <v>1049</v>
      </c>
      <c r="H319" s="1" t="s">
        <v>250</v>
      </c>
      <c r="I319" s="1" t="s">
        <v>172</v>
      </c>
      <c r="J319" s="1" t="s">
        <v>953</v>
      </c>
      <c r="K319" s="1" t="s">
        <v>811</v>
      </c>
      <c r="L319" s="1" t="b">
        <v>1</v>
      </c>
      <c r="M319" s="1" t="s">
        <v>250</v>
      </c>
      <c r="N319" s="6">
        <f>IFERROR(__xludf.DUMMYFUNCTION("IF(REGEXMATCH(A319, ""^00-""), 0, IF(AND(EQ(F319, """"), EQ(G319, """")), 1, 0))"),0.0)</f>
        <v>0</v>
      </c>
      <c r="O319" s="6">
        <f>IFERROR(__xludf.DUMMYFUNCTION("IF(REGEXMATCH(A319, ""^00-""), 0, IF(AND(NE(F319, """"), EQ(G319, """")), 1, 0))"),0.0)</f>
        <v>0</v>
      </c>
      <c r="P319" s="6">
        <f>IFERROR(__xludf.DUMMYFUNCTION("IF(REGEXMATCH(A319, ""^00-""), 0, IF(AND(EQ(F319, """"), NE(G319, """")), 1, 0))"),0.0)</f>
        <v>0</v>
      </c>
      <c r="Q319" s="6">
        <f>IFERROR(__xludf.DUMMYFUNCTION("IF(REGEXMATCH(A319, ""^00-""), 0, IF(AND(NE(F319, """"), NE(G319, """")), 1, 0))"),1.0)</f>
        <v>1</v>
      </c>
      <c r="R319" s="6">
        <f t="shared" si="1"/>
        <v>1</v>
      </c>
    </row>
    <row r="320">
      <c r="A320" s="1" t="s">
        <v>48</v>
      </c>
      <c r="B320" s="1" t="s">
        <v>1050</v>
      </c>
      <c r="C320" s="1">
        <v>528.0</v>
      </c>
      <c r="D320" s="1">
        <v>4.0</v>
      </c>
      <c r="E320" s="1">
        <v>532.0</v>
      </c>
      <c r="F320" s="1" t="s">
        <v>1051</v>
      </c>
      <c r="G320" s="1" t="s">
        <v>1052</v>
      </c>
      <c r="H320" s="1" t="s">
        <v>182</v>
      </c>
      <c r="I320" s="1" t="s">
        <v>172</v>
      </c>
      <c r="J320" s="1" t="s">
        <v>953</v>
      </c>
      <c r="K320" s="1" t="s">
        <v>811</v>
      </c>
      <c r="L320" s="1" t="b">
        <v>1</v>
      </c>
      <c r="M320" s="1" t="s">
        <v>257</v>
      </c>
      <c r="N320" s="6">
        <f>IFERROR(__xludf.DUMMYFUNCTION("IF(REGEXMATCH(A320, ""^00-""), 0, IF(AND(EQ(F320, """"), EQ(G320, """")), 1, 0))"),0.0)</f>
        <v>0</v>
      </c>
      <c r="O320" s="6">
        <f>IFERROR(__xludf.DUMMYFUNCTION("IF(REGEXMATCH(A320, ""^00-""), 0, IF(AND(NE(F320, """"), EQ(G320, """")), 1, 0))"),0.0)</f>
        <v>0</v>
      </c>
      <c r="P320" s="6">
        <f>IFERROR(__xludf.DUMMYFUNCTION("IF(REGEXMATCH(A320, ""^00-""), 0, IF(AND(EQ(F320, """"), NE(G320, """")), 1, 0))"),0.0)</f>
        <v>0</v>
      </c>
      <c r="Q320" s="6">
        <f>IFERROR(__xludf.DUMMYFUNCTION("IF(REGEXMATCH(A320, ""^00-""), 0, IF(AND(NE(F320, """"), NE(G320, """")), 1, 0))"),1.0)</f>
        <v>1</v>
      </c>
      <c r="R320" s="6">
        <f t="shared" si="1"/>
        <v>1</v>
      </c>
    </row>
    <row r="321">
      <c r="A321" s="1" t="s">
        <v>48</v>
      </c>
      <c r="B321" s="1" t="s">
        <v>1053</v>
      </c>
      <c r="C321" s="1">
        <v>530.0</v>
      </c>
      <c r="D321" s="1">
        <v>2.0</v>
      </c>
      <c r="E321" s="1">
        <v>532.0</v>
      </c>
      <c r="F321" s="1" t="s">
        <v>1054</v>
      </c>
      <c r="G321" s="1" t="s">
        <v>1055</v>
      </c>
      <c r="H321" s="1" t="s">
        <v>250</v>
      </c>
      <c r="I321" s="1" t="s">
        <v>172</v>
      </c>
      <c r="J321" s="1" t="s">
        <v>953</v>
      </c>
      <c r="K321" s="1" t="s">
        <v>811</v>
      </c>
      <c r="L321" s="1" t="b">
        <v>1</v>
      </c>
      <c r="M321" s="1" t="s">
        <v>250</v>
      </c>
      <c r="N321" s="6">
        <f>IFERROR(__xludf.DUMMYFUNCTION("IF(REGEXMATCH(A321, ""^00-""), 0, IF(AND(EQ(F321, """"), EQ(G321, """")), 1, 0))"),0.0)</f>
        <v>0</v>
      </c>
      <c r="O321" s="6">
        <f>IFERROR(__xludf.DUMMYFUNCTION("IF(REGEXMATCH(A321, ""^00-""), 0, IF(AND(NE(F321, """"), EQ(G321, """")), 1, 0))"),0.0)</f>
        <v>0</v>
      </c>
      <c r="P321" s="6">
        <f>IFERROR(__xludf.DUMMYFUNCTION("IF(REGEXMATCH(A321, ""^00-""), 0, IF(AND(EQ(F321, """"), NE(G321, """")), 1, 0))"),0.0)</f>
        <v>0</v>
      </c>
      <c r="Q321" s="6">
        <f>IFERROR(__xludf.DUMMYFUNCTION("IF(REGEXMATCH(A321, ""^00-""), 0, IF(AND(NE(F321, """"), NE(G321, """")), 1, 0))"),1.0)</f>
        <v>1</v>
      </c>
      <c r="R321" s="6">
        <f t="shared" si="1"/>
        <v>1</v>
      </c>
    </row>
    <row r="322">
      <c r="A322" s="1" t="s">
        <v>48</v>
      </c>
      <c r="B322" s="1" t="s">
        <v>1056</v>
      </c>
      <c r="C322" s="1">
        <v>527.0</v>
      </c>
      <c r="D322" s="1">
        <v>5.0</v>
      </c>
      <c r="E322" s="1">
        <v>532.0</v>
      </c>
      <c r="F322" s="1" t="s">
        <v>1057</v>
      </c>
      <c r="G322" s="1" t="s">
        <v>1058</v>
      </c>
      <c r="H322" s="1" t="s">
        <v>182</v>
      </c>
      <c r="I322" s="1" t="s">
        <v>172</v>
      </c>
      <c r="J322" s="1" t="s">
        <v>953</v>
      </c>
      <c r="K322" s="1" t="s">
        <v>811</v>
      </c>
      <c r="L322" s="1" t="b">
        <v>1</v>
      </c>
      <c r="M322" s="1" t="s">
        <v>257</v>
      </c>
      <c r="N322" s="6">
        <f>IFERROR(__xludf.DUMMYFUNCTION("IF(REGEXMATCH(A322, ""^00-""), 0, IF(AND(EQ(F322, """"), EQ(G322, """")), 1, 0))"),0.0)</f>
        <v>0</v>
      </c>
      <c r="O322" s="6">
        <f>IFERROR(__xludf.DUMMYFUNCTION("IF(REGEXMATCH(A322, ""^00-""), 0, IF(AND(NE(F322, """"), EQ(G322, """")), 1, 0))"),0.0)</f>
        <v>0</v>
      </c>
      <c r="P322" s="6">
        <f>IFERROR(__xludf.DUMMYFUNCTION("IF(REGEXMATCH(A322, ""^00-""), 0, IF(AND(EQ(F322, """"), NE(G322, """")), 1, 0))"),0.0)</f>
        <v>0</v>
      </c>
      <c r="Q322" s="6">
        <f>IFERROR(__xludf.DUMMYFUNCTION("IF(REGEXMATCH(A322, ""^00-""), 0, IF(AND(NE(F322, """"), NE(G322, """")), 1, 0))"),1.0)</f>
        <v>1</v>
      </c>
      <c r="R322" s="6">
        <f t="shared" si="1"/>
        <v>1</v>
      </c>
    </row>
    <row r="323">
      <c r="A323" s="1" t="s">
        <v>48</v>
      </c>
      <c r="B323" s="1" t="s">
        <v>1059</v>
      </c>
      <c r="C323" s="1">
        <v>527.0</v>
      </c>
      <c r="D323" s="1">
        <v>5.0</v>
      </c>
      <c r="E323" s="1">
        <v>532.0</v>
      </c>
      <c r="F323" s="1" t="s">
        <v>1060</v>
      </c>
      <c r="G323" s="1" t="s">
        <v>1061</v>
      </c>
      <c r="H323" s="1" t="s">
        <v>250</v>
      </c>
      <c r="I323" s="1" t="s">
        <v>172</v>
      </c>
      <c r="J323" s="1" t="s">
        <v>953</v>
      </c>
      <c r="K323" s="1" t="s">
        <v>811</v>
      </c>
      <c r="L323" s="1" t="b">
        <v>1</v>
      </c>
      <c r="M323" s="1" t="s">
        <v>250</v>
      </c>
      <c r="N323" s="6">
        <f>IFERROR(__xludf.DUMMYFUNCTION("IF(REGEXMATCH(A323, ""^00-""), 0, IF(AND(EQ(F323, """"), EQ(G323, """")), 1, 0))"),0.0)</f>
        <v>0</v>
      </c>
      <c r="O323" s="6">
        <f>IFERROR(__xludf.DUMMYFUNCTION("IF(REGEXMATCH(A323, ""^00-""), 0, IF(AND(NE(F323, """"), EQ(G323, """")), 1, 0))"),0.0)</f>
        <v>0</v>
      </c>
      <c r="P323" s="6">
        <f>IFERROR(__xludf.DUMMYFUNCTION("IF(REGEXMATCH(A323, ""^00-""), 0, IF(AND(EQ(F323, """"), NE(G323, """")), 1, 0))"),0.0)</f>
        <v>0</v>
      </c>
      <c r="Q323" s="6">
        <f>IFERROR(__xludf.DUMMYFUNCTION("IF(REGEXMATCH(A323, ""^00-""), 0, IF(AND(NE(F323, """"), NE(G323, """")), 1, 0))"),1.0)</f>
        <v>1</v>
      </c>
      <c r="R323" s="6">
        <f t="shared" si="1"/>
        <v>1</v>
      </c>
    </row>
    <row r="324">
      <c r="A324" s="1" t="s">
        <v>48</v>
      </c>
      <c r="B324" s="1" t="s">
        <v>1062</v>
      </c>
      <c r="C324" s="1">
        <v>525.0</v>
      </c>
      <c r="D324" s="1">
        <v>7.0</v>
      </c>
      <c r="E324" s="1">
        <v>532.0</v>
      </c>
      <c r="F324" s="1" t="s">
        <v>1063</v>
      </c>
      <c r="G324" s="1" t="s">
        <v>1064</v>
      </c>
      <c r="H324" s="1" t="s">
        <v>182</v>
      </c>
      <c r="I324" s="1" t="s">
        <v>172</v>
      </c>
      <c r="J324" s="1" t="s">
        <v>953</v>
      </c>
      <c r="K324" s="1" t="s">
        <v>811</v>
      </c>
      <c r="L324" s="1" t="b">
        <v>1</v>
      </c>
      <c r="M324" s="1" t="s">
        <v>257</v>
      </c>
      <c r="N324" s="6">
        <f>IFERROR(__xludf.DUMMYFUNCTION("IF(REGEXMATCH(A324, ""^00-""), 0, IF(AND(EQ(F324, """"), EQ(G324, """")), 1, 0))"),0.0)</f>
        <v>0</v>
      </c>
      <c r="O324" s="6">
        <f>IFERROR(__xludf.DUMMYFUNCTION("IF(REGEXMATCH(A324, ""^00-""), 0, IF(AND(NE(F324, """"), EQ(G324, """")), 1, 0))"),0.0)</f>
        <v>0</v>
      </c>
      <c r="P324" s="6">
        <f>IFERROR(__xludf.DUMMYFUNCTION("IF(REGEXMATCH(A324, ""^00-""), 0, IF(AND(EQ(F324, """"), NE(G324, """")), 1, 0))"),0.0)</f>
        <v>0</v>
      </c>
      <c r="Q324" s="6">
        <f>IFERROR(__xludf.DUMMYFUNCTION("IF(REGEXMATCH(A324, ""^00-""), 0, IF(AND(NE(F324, """"), NE(G324, """")), 1, 0))"),1.0)</f>
        <v>1</v>
      </c>
      <c r="R324" s="6">
        <f t="shared" si="1"/>
        <v>1</v>
      </c>
    </row>
    <row r="325">
      <c r="A325" s="1" t="s">
        <v>48</v>
      </c>
      <c r="B325" s="1" t="s">
        <v>1065</v>
      </c>
      <c r="C325" s="1">
        <v>525.0</v>
      </c>
      <c r="D325" s="1">
        <v>7.0</v>
      </c>
      <c r="E325" s="1">
        <v>532.0</v>
      </c>
      <c r="F325" s="1" t="s">
        <v>1066</v>
      </c>
      <c r="G325" s="1" t="s">
        <v>1067</v>
      </c>
      <c r="H325" s="1" t="s">
        <v>250</v>
      </c>
      <c r="I325" s="1" t="s">
        <v>172</v>
      </c>
      <c r="J325" s="1" t="s">
        <v>953</v>
      </c>
      <c r="K325" s="1" t="s">
        <v>811</v>
      </c>
      <c r="L325" s="1" t="b">
        <v>1</v>
      </c>
      <c r="M325" s="1" t="s">
        <v>250</v>
      </c>
      <c r="N325" s="6">
        <f>IFERROR(__xludf.DUMMYFUNCTION("IF(REGEXMATCH(A325, ""^00-""), 0, IF(AND(EQ(F325, """"), EQ(G325, """")), 1, 0))"),0.0)</f>
        <v>0</v>
      </c>
      <c r="O325" s="6">
        <f>IFERROR(__xludf.DUMMYFUNCTION("IF(REGEXMATCH(A325, ""^00-""), 0, IF(AND(NE(F325, """"), EQ(G325, """")), 1, 0))"),0.0)</f>
        <v>0</v>
      </c>
      <c r="P325" s="6">
        <f>IFERROR(__xludf.DUMMYFUNCTION("IF(REGEXMATCH(A325, ""^00-""), 0, IF(AND(EQ(F325, """"), NE(G325, """")), 1, 0))"),0.0)</f>
        <v>0</v>
      </c>
      <c r="Q325" s="6">
        <f>IFERROR(__xludf.DUMMYFUNCTION("IF(REGEXMATCH(A325, ""^00-""), 0, IF(AND(NE(F325, """"), NE(G325, """")), 1, 0))"),1.0)</f>
        <v>1</v>
      </c>
      <c r="R325" s="6">
        <f t="shared" si="1"/>
        <v>1</v>
      </c>
    </row>
    <row r="326">
      <c r="A326" s="1" t="s">
        <v>48</v>
      </c>
      <c r="B326" s="1" t="s">
        <v>1068</v>
      </c>
      <c r="C326" s="1">
        <v>525.0</v>
      </c>
      <c r="D326" s="1">
        <v>7.0</v>
      </c>
      <c r="E326" s="1">
        <v>532.0</v>
      </c>
      <c r="F326" s="1" t="s">
        <v>1069</v>
      </c>
      <c r="G326" s="1" t="s">
        <v>1070</v>
      </c>
      <c r="H326" s="1" t="s">
        <v>182</v>
      </c>
      <c r="I326" s="1" t="s">
        <v>172</v>
      </c>
      <c r="J326" s="1" t="s">
        <v>953</v>
      </c>
      <c r="K326" s="1" t="s">
        <v>811</v>
      </c>
      <c r="L326" s="1" t="b">
        <v>1</v>
      </c>
      <c r="M326" s="1" t="s">
        <v>257</v>
      </c>
      <c r="N326" s="6">
        <f>IFERROR(__xludf.DUMMYFUNCTION("IF(REGEXMATCH(A326, ""^00-""), 0, IF(AND(EQ(F326, """"), EQ(G326, """")), 1, 0))"),0.0)</f>
        <v>0</v>
      </c>
      <c r="O326" s="6">
        <f>IFERROR(__xludf.DUMMYFUNCTION("IF(REGEXMATCH(A326, ""^00-""), 0, IF(AND(NE(F326, """"), EQ(G326, """")), 1, 0))"),0.0)</f>
        <v>0</v>
      </c>
      <c r="P326" s="6">
        <f>IFERROR(__xludf.DUMMYFUNCTION("IF(REGEXMATCH(A326, ""^00-""), 0, IF(AND(EQ(F326, """"), NE(G326, """")), 1, 0))"),0.0)</f>
        <v>0</v>
      </c>
      <c r="Q326" s="6">
        <f>IFERROR(__xludf.DUMMYFUNCTION("IF(REGEXMATCH(A326, ""^00-""), 0, IF(AND(NE(F326, """"), NE(G326, """")), 1, 0))"),1.0)</f>
        <v>1</v>
      </c>
      <c r="R326" s="6">
        <f t="shared" si="1"/>
        <v>1</v>
      </c>
    </row>
    <row r="327">
      <c r="A327" s="1" t="s">
        <v>48</v>
      </c>
      <c r="B327" s="1" t="s">
        <v>1071</v>
      </c>
      <c r="C327" s="1">
        <v>525.0</v>
      </c>
      <c r="D327" s="1">
        <v>7.0</v>
      </c>
      <c r="E327" s="1">
        <v>532.0</v>
      </c>
      <c r="F327" s="1" t="s">
        <v>1072</v>
      </c>
      <c r="G327" s="1" t="s">
        <v>1073</v>
      </c>
      <c r="H327" s="1" t="s">
        <v>250</v>
      </c>
      <c r="I327" s="1" t="s">
        <v>172</v>
      </c>
      <c r="J327" s="1" t="s">
        <v>953</v>
      </c>
      <c r="K327" s="1" t="s">
        <v>811</v>
      </c>
      <c r="L327" s="1" t="b">
        <v>1</v>
      </c>
      <c r="M327" s="1" t="s">
        <v>250</v>
      </c>
      <c r="N327" s="6">
        <f>IFERROR(__xludf.DUMMYFUNCTION("IF(REGEXMATCH(A327, ""^00-""), 0, IF(AND(EQ(F327, """"), EQ(G327, """")), 1, 0))"),0.0)</f>
        <v>0</v>
      </c>
      <c r="O327" s="6">
        <f>IFERROR(__xludf.DUMMYFUNCTION("IF(REGEXMATCH(A327, ""^00-""), 0, IF(AND(NE(F327, """"), EQ(G327, """")), 1, 0))"),0.0)</f>
        <v>0</v>
      </c>
      <c r="P327" s="6">
        <f>IFERROR(__xludf.DUMMYFUNCTION("IF(REGEXMATCH(A327, ""^00-""), 0, IF(AND(EQ(F327, """"), NE(G327, """")), 1, 0))"),0.0)</f>
        <v>0</v>
      </c>
      <c r="Q327" s="6">
        <f>IFERROR(__xludf.DUMMYFUNCTION("IF(REGEXMATCH(A327, ""^00-""), 0, IF(AND(NE(F327, """"), NE(G327, """")), 1, 0))"),1.0)</f>
        <v>1</v>
      </c>
      <c r="R327" s="6">
        <f t="shared" si="1"/>
        <v>1</v>
      </c>
    </row>
    <row r="328">
      <c r="A328" s="1" t="s">
        <v>48</v>
      </c>
      <c r="B328" s="1" t="s">
        <v>1074</v>
      </c>
      <c r="C328" s="1">
        <v>531.0</v>
      </c>
      <c r="D328" s="1">
        <v>1.0</v>
      </c>
      <c r="E328" s="1">
        <v>532.0</v>
      </c>
      <c r="F328" s="1" t="s">
        <v>1075</v>
      </c>
      <c r="G328" s="1" t="s">
        <v>1076</v>
      </c>
      <c r="H328" s="1" t="s">
        <v>182</v>
      </c>
      <c r="I328" s="1" t="s">
        <v>172</v>
      </c>
      <c r="J328" s="1" t="s">
        <v>953</v>
      </c>
      <c r="K328" s="1" t="s">
        <v>811</v>
      </c>
      <c r="L328" s="1" t="b">
        <v>1</v>
      </c>
      <c r="M328" s="1" t="s">
        <v>257</v>
      </c>
      <c r="N328" s="6">
        <f>IFERROR(__xludf.DUMMYFUNCTION("IF(REGEXMATCH(A328, ""^00-""), 0, IF(AND(EQ(F328, """"), EQ(G328, """")), 1, 0))"),0.0)</f>
        <v>0</v>
      </c>
      <c r="O328" s="6">
        <f>IFERROR(__xludf.DUMMYFUNCTION("IF(REGEXMATCH(A328, ""^00-""), 0, IF(AND(NE(F328, """"), EQ(G328, """")), 1, 0))"),0.0)</f>
        <v>0</v>
      </c>
      <c r="P328" s="6">
        <f>IFERROR(__xludf.DUMMYFUNCTION("IF(REGEXMATCH(A328, ""^00-""), 0, IF(AND(EQ(F328, """"), NE(G328, """")), 1, 0))"),0.0)</f>
        <v>0</v>
      </c>
      <c r="Q328" s="6">
        <f>IFERROR(__xludf.DUMMYFUNCTION("IF(REGEXMATCH(A328, ""^00-""), 0, IF(AND(NE(F328, """"), NE(G328, """")), 1, 0))"),1.0)</f>
        <v>1</v>
      </c>
      <c r="R328" s="6">
        <f t="shared" si="1"/>
        <v>1</v>
      </c>
    </row>
    <row r="329">
      <c r="A329" s="1" t="s">
        <v>48</v>
      </c>
      <c r="B329" s="1" t="s">
        <v>1077</v>
      </c>
      <c r="C329" s="1">
        <v>530.0</v>
      </c>
      <c r="D329" s="1">
        <v>2.0</v>
      </c>
      <c r="E329" s="1">
        <v>532.0</v>
      </c>
      <c r="F329" s="1" t="s">
        <v>1078</v>
      </c>
      <c r="G329" s="1" t="s">
        <v>1079</v>
      </c>
      <c r="H329" s="1" t="s">
        <v>250</v>
      </c>
      <c r="I329" s="1" t="s">
        <v>172</v>
      </c>
      <c r="J329" s="1" t="s">
        <v>953</v>
      </c>
      <c r="K329" s="1" t="s">
        <v>811</v>
      </c>
      <c r="L329" s="1" t="b">
        <v>1</v>
      </c>
      <c r="M329" s="1" t="s">
        <v>250</v>
      </c>
      <c r="N329" s="6">
        <f>IFERROR(__xludf.DUMMYFUNCTION("IF(REGEXMATCH(A329, ""^00-""), 0, IF(AND(EQ(F329, """"), EQ(G329, """")), 1, 0))"),0.0)</f>
        <v>0</v>
      </c>
      <c r="O329" s="6">
        <f>IFERROR(__xludf.DUMMYFUNCTION("IF(REGEXMATCH(A329, ""^00-""), 0, IF(AND(NE(F329, """"), EQ(G329, """")), 1, 0))"),0.0)</f>
        <v>0</v>
      </c>
      <c r="P329" s="6">
        <f>IFERROR(__xludf.DUMMYFUNCTION("IF(REGEXMATCH(A329, ""^00-""), 0, IF(AND(EQ(F329, """"), NE(G329, """")), 1, 0))"),0.0)</f>
        <v>0</v>
      </c>
      <c r="Q329" s="6">
        <f>IFERROR(__xludf.DUMMYFUNCTION("IF(REGEXMATCH(A329, ""^00-""), 0, IF(AND(NE(F329, """"), NE(G329, """")), 1, 0))"),1.0)</f>
        <v>1</v>
      </c>
      <c r="R329" s="6">
        <f t="shared" si="1"/>
        <v>1</v>
      </c>
    </row>
    <row r="330">
      <c r="A330" s="1" t="s">
        <v>48</v>
      </c>
      <c r="B330" s="1" t="s">
        <v>1080</v>
      </c>
      <c r="C330" s="1">
        <v>331.0</v>
      </c>
      <c r="D330" s="1">
        <v>201.0</v>
      </c>
      <c r="E330" s="1">
        <v>532.0</v>
      </c>
      <c r="F330" s="1"/>
      <c r="G330" s="1" t="s">
        <v>1081</v>
      </c>
      <c r="H330" s="1" t="s">
        <v>182</v>
      </c>
      <c r="I330" s="1" t="s">
        <v>172</v>
      </c>
      <c r="J330" s="1" t="s">
        <v>953</v>
      </c>
      <c r="K330" s="1" t="s">
        <v>811</v>
      </c>
      <c r="L330" s="1" t="b">
        <v>1</v>
      </c>
      <c r="M330" s="1" t="s">
        <v>257</v>
      </c>
      <c r="N330" s="6">
        <f>IFERROR(__xludf.DUMMYFUNCTION("IF(REGEXMATCH(A330, ""^00-""), 0, IF(AND(EQ(F330, """"), EQ(G330, """")), 1, 0))"),0.0)</f>
        <v>0</v>
      </c>
      <c r="O330" s="6">
        <f>IFERROR(__xludf.DUMMYFUNCTION("IF(REGEXMATCH(A330, ""^00-""), 0, IF(AND(NE(F330, """"), EQ(G330, """")), 1, 0))"),0.0)</f>
        <v>0</v>
      </c>
      <c r="P330" s="6">
        <f>IFERROR(__xludf.DUMMYFUNCTION("IF(REGEXMATCH(A330, ""^00-""), 0, IF(AND(EQ(F330, """"), NE(G330, """")), 1, 0))"),1.0)</f>
        <v>1</v>
      </c>
      <c r="Q330" s="6">
        <f>IFERROR(__xludf.DUMMYFUNCTION("IF(REGEXMATCH(A330, ""^00-""), 0, IF(AND(NE(F330, """"), NE(G330, """")), 1, 0))"),0.0)</f>
        <v>0</v>
      </c>
      <c r="R330" s="6">
        <f t="shared" si="1"/>
        <v>1</v>
      </c>
    </row>
    <row r="331">
      <c r="A331" s="1" t="s">
        <v>48</v>
      </c>
      <c r="B331" s="1" t="s">
        <v>1082</v>
      </c>
      <c r="C331" s="1">
        <v>331.0</v>
      </c>
      <c r="D331" s="1">
        <v>201.0</v>
      </c>
      <c r="E331" s="1">
        <v>532.0</v>
      </c>
      <c r="F331" s="1"/>
      <c r="G331" s="1" t="s">
        <v>1083</v>
      </c>
      <c r="H331" s="1" t="s">
        <v>250</v>
      </c>
      <c r="I331" s="1" t="s">
        <v>172</v>
      </c>
      <c r="J331" s="1" t="s">
        <v>953</v>
      </c>
      <c r="K331" s="1" t="s">
        <v>811</v>
      </c>
      <c r="L331" s="1" t="b">
        <v>1</v>
      </c>
      <c r="M331" s="1" t="s">
        <v>250</v>
      </c>
      <c r="N331" s="6">
        <f>IFERROR(__xludf.DUMMYFUNCTION("IF(REGEXMATCH(A331, ""^00-""), 0, IF(AND(EQ(F331, """"), EQ(G331, """")), 1, 0))"),0.0)</f>
        <v>0</v>
      </c>
      <c r="O331" s="6">
        <f>IFERROR(__xludf.DUMMYFUNCTION("IF(REGEXMATCH(A331, ""^00-""), 0, IF(AND(NE(F331, """"), EQ(G331, """")), 1, 0))"),0.0)</f>
        <v>0</v>
      </c>
      <c r="P331" s="6">
        <f>IFERROR(__xludf.DUMMYFUNCTION("IF(REGEXMATCH(A331, ""^00-""), 0, IF(AND(EQ(F331, """"), NE(G331, """")), 1, 0))"),1.0)</f>
        <v>1</v>
      </c>
      <c r="Q331" s="6">
        <f>IFERROR(__xludf.DUMMYFUNCTION("IF(REGEXMATCH(A331, ""^00-""), 0, IF(AND(NE(F331, """"), NE(G331, """")), 1, 0))"),0.0)</f>
        <v>0</v>
      </c>
      <c r="R331" s="6">
        <f t="shared" si="1"/>
        <v>1</v>
      </c>
    </row>
    <row r="332">
      <c r="A332" s="1" t="s">
        <v>48</v>
      </c>
      <c r="B332" s="1" t="s">
        <v>1084</v>
      </c>
      <c r="C332" s="1">
        <v>253.0</v>
      </c>
      <c r="D332" s="1">
        <v>279.0</v>
      </c>
      <c r="E332" s="1">
        <v>532.0</v>
      </c>
      <c r="F332" s="1"/>
      <c r="G332" s="1" t="s">
        <v>1085</v>
      </c>
      <c r="H332" s="1" t="s">
        <v>182</v>
      </c>
      <c r="I332" s="1" t="s">
        <v>172</v>
      </c>
      <c r="J332" s="1" t="s">
        <v>953</v>
      </c>
      <c r="K332" s="1" t="s">
        <v>811</v>
      </c>
      <c r="L332" s="1" t="b">
        <v>1</v>
      </c>
      <c r="M332" s="1" t="s">
        <v>257</v>
      </c>
      <c r="N332" s="6">
        <f>IFERROR(__xludf.DUMMYFUNCTION("IF(REGEXMATCH(A332, ""^00-""), 0, IF(AND(EQ(F332, """"), EQ(G332, """")), 1, 0))"),0.0)</f>
        <v>0</v>
      </c>
      <c r="O332" s="6">
        <f>IFERROR(__xludf.DUMMYFUNCTION("IF(REGEXMATCH(A332, ""^00-""), 0, IF(AND(NE(F332, """"), EQ(G332, """")), 1, 0))"),0.0)</f>
        <v>0</v>
      </c>
      <c r="P332" s="6">
        <f>IFERROR(__xludf.DUMMYFUNCTION("IF(REGEXMATCH(A332, ""^00-""), 0, IF(AND(EQ(F332, """"), NE(G332, """")), 1, 0))"),1.0)</f>
        <v>1</v>
      </c>
      <c r="Q332" s="6">
        <f>IFERROR(__xludf.DUMMYFUNCTION("IF(REGEXMATCH(A332, ""^00-""), 0, IF(AND(NE(F332, """"), NE(G332, """")), 1, 0))"),0.0)</f>
        <v>0</v>
      </c>
      <c r="R332" s="6">
        <f t="shared" si="1"/>
        <v>1</v>
      </c>
    </row>
    <row r="333">
      <c r="A333" s="1" t="s">
        <v>48</v>
      </c>
      <c r="B333" s="1" t="s">
        <v>1086</v>
      </c>
      <c r="C333" s="1">
        <v>253.0</v>
      </c>
      <c r="D333" s="1">
        <v>279.0</v>
      </c>
      <c r="E333" s="1">
        <v>532.0</v>
      </c>
      <c r="F333" s="1"/>
      <c r="G333" s="1" t="s">
        <v>1087</v>
      </c>
      <c r="H333" s="1" t="s">
        <v>250</v>
      </c>
      <c r="I333" s="1" t="s">
        <v>172</v>
      </c>
      <c r="J333" s="1" t="s">
        <v>953</v>
      </c>
      <c r="K333" s="1" t="s">
        <v>811</v>
      </c>
      <c r="L333" s="1" t="b">
        <v>1</v>
      </c>
      <c r="M333" s="1" t="s">
        <v>250</v>
      </c>
      <c r="N333" s="6">
        <f>IFERROR(__xludf.DUMMYFUNCTION("IF(REGEXMATCH(A333, ""^00-""), 0, IF(AND(EQ(F333, """"), EQ(G333, """")), 1, 0))"),0.0)</f>
        <v>0</v>
      </c>
      <c r="O333" s="6">
        <f>IFERROR(__xludf.DUMMYFUNCTION("IF(REGEXMATCH(A333, ""^00-""), 0, IF(AND(NE(F333, """"), EQ(G333, """")), 1, 0))"),0.0)</f>
        <v>0</v>
      </c>
      <c r="P333" s="6">
        <f>IFERROR(__xludf.DUMMYFUNCTION("IF(REGEXMATCH(A333, ""^00-""), 0, IF(AND(EQ(F333, """"), NE(G333, """")), 1, 0))"),1.0)</f>
        <v>1</v>
      </c>
      <c r="Q333" s="6">
        <f>IFERROR(__xludf.DUMMYFUNCTION("IF(REGEXMATCH(A333, ""^00-""), 0, IF(AND(NE(F333, """"), NE(G333, """")), 1, 0))"),0.0)</f>
        <v>0</v>
      </c>
      <c r="R333" s="6">
        <f t="shared" si="1"/>
        <v>1</v>
      </c>
    </row>
    <row r="334">
      <c r="A334" s="1" t="s">
        <v>48</v>
      </c>
      <c r="B334" s="1" t="s">
        <v>1088</v>
      </c>
      <c r="C334" s="1">
        <v>463.0</v>
      </c>
      <c r="D334" s="1">
        <v>69.0</v>
      </c>
      <c r="E334" s="1">
        <v>532.0</v>
      </c>
      <c r="F334" s="1" t="s">
        <v>1089</v>
      </c>
      <c r="G334" s="1" t="s">
        <v>1090</v>
      </c>
      <c r="H334" s="1" t="s">
        <v>182</v>
      </c>
      <c r="I334" s="1" t="s">
        <v>172</v>
      </c>
      <c r="J334" s="1" t="s">
        <v>953</v>
      </c>
      <c r="K334" s="1" t="s">
        <v>811</v>
      </c>
      <c r="L334" s="1" t="b">
        <v>1</v>
      </c>
      <c r="M334" s="1" t="s">
        <v>257</v>
      </c>
      <c r="N334" s="6">
        <f>IFERROR(__xludf.DUMMYFUNCTION("IF(REGEXMATCH(A334, ""^00-""), 0, IF(AND(EQ(F334, """"), EQ(G334, """")), 1, 0))"),0.0)</f>
        <v>0</v>
      </c>
      <c r="O334" s="6">
        <f>IFERROR(__xludf.DUMMYFUNCTION("IF(REGEXMATCH(A334, ""^00-""), 0, IF(AND(NE(F334, """"), EQ(G334, """")), 1, 0))"),0.0)</f>
        <v>0</v>
      </c>
      <c r="P334" s="6">
        <f>IFERROR(__xludf.DUMMYFUNCTION("IF(REGEXMATCH(A334, ""^00-""), 0, IF(AND(EQ(F334, """"), NE(G334, """")), 1, 0))"),0.0)</f>
        <v>0</v>
      </c>
      <c r="Q334" s="6">
        <f>IFERROR(__xludf.DUMMYFUNCTION("IF(REGEXMATCH(A334, ""^00-""), 0, IF(AND(NE(F334, """"), NE(G334, """")), 1, 0))"),1.0)</f>
        <v>1</v>
      </c>
      <c r="R334" s="6">
        <f t="shared" si="1"/>
        <v>1</v>
      </c>
    </row>
    <row r="335">
      <c r="A335" s="1" t="s">
        <v>48</v>
      </c>
      <c r="B335" s="1" t="s">
        <v>1091</v>
      </c>
      <c r="C335" s="1">
        <v>466.0</v>
      </c>
      <c r="D335" s="1">
        <v>66.0</v>
      </c>
      <c r="E335" s="1">
        <v>532.0</v>
      </c>
      <c r="F335" s="1" t="s">
        <v>1092</v>
      </c>
      <c r="G335" s="1" t="s">
        <v>1093</v>
      </c>
      <c r="H335" s="1" t="s">
        <v>250</v>
      </c>
      <c r="I335" s="1" t="s">
        <v>172</v>
      </c>
      <c r="J335" s="1" t="s">
        <v>953</v>
      </c>
      <c r="K335" s="1" t="s">
        <v>811</v>
      </c>
      <c r="L335" s="1" t="b">
        <v>1</v>
      </c>
      <c r="M335" s="1" t="s">
        <v>250</v>
      </c>
      <c r="N335" s="6">
        <f>IFERROR(__xludf.DUMMYFUNCTION("IF(REGEXMATCH(A335, ""^00-""), 0, IF(AND(EQ(F335, """"), EQ(G335, """")), 1, 0))"),0.0)</f>
        <v>0</v>
      </c>
      <c r="O335" s="6">
        <f>IFERROR(__xludf.DUMMYFUNCTION("IF(REGEXMATCH(A335, ""^00-""), 0, IF(AND(NE(F335, """"), EQ(G335, """")), 1, 0))"),0.0)</f>
        <v>0</v>
      </c>
      <c r="P335" s="6">
        <f>IFERROR(__xludf.DUMMYFUNCTION("IF(REGEXMATCH(A335, ""^00-""), 0, IF(AND(EQ(F335, """"), NE(G335, """")), 1, 0))"),0.0)</f>
        <v>0</v>
      </c>
      <c r="Q335" s="6">
        <f>IFERROR(__xludf.DUMMYFUNCTION("IF(REGEXMATCH(A335, ""^00-""), 0, IF(AND(NE(F335, """"), NE(G335, """")), 1, 0))"),1.0)</f>
        <v>1</v>
      </c>
      <c r="R335" s="6">
        <f t="shared" si="1"/>
        <v>1</v>
      </c>
    </row>
    <row r="336">
      <c r="A336" s="1" t="s">
        <v>48</v>
      </c>
      <c r="B336" s="1" t="s">
        <v>1094</v>
      </c>
      <c r="C336" s="1">
        <v>475.0</v>
      </c>
      <c r="D336" s="1">
        <v>57.0</v>
      </c>
      <c r="E336" s="1">
        <v>532.0</v>
      </c>
      <c r="F336" s="1" t="s">
        <v>1095</v>
      </c>
      <c r="G336" s="1" t="s">
        <v>1096</v>
      </c>
      <c r="H336" s="1" t="s">
        <v>182</v>
      </c>
      <c r="I336" s="1" t="s">
        <v>172</v>
      </c>
      <c r="J336" s="1" t="s">
        <v>953</v>
      </c>
      <c r="K336" s="1" t="s">
        <v>811</v>
      </c>
      <c r="L336" s="1" t="b">
        <v>1</v>
      </c>
      <c r="M336" s="1" t="s">
        <v>257</v>
      </c>
      <c r="N336" s="6">
        <f>IFERROR(__xludf.DUMMYFUNCTION("IF(REGEXMATCH(A336, ""^00-""), 0, IF(AND(EQ(F336, """"), EQ(G336, """")), 1, 0))"),0.0)</f>
        <v>0</v>
      </c>
      <c r="O336" s="6">
        <f>IFERROR(__xludf.DUMMYFUNCTION("IF(REGEXMATCH(A336, ""^00-""), 0, IF(AND(NE(F336, """"), EQ(G336, """")), 1, 0))"),0.0)</f>
        <v>0</v>
      </c>
      <c r="P336" s="6">
        <f>IFERROR(__xludf.DUMMYFUNCTION("IF(REGEXMATCH(A336, ""^00-""), 0, IF(AND(EQ(F336, """"), NE(G336, """")), 1, 0))"),0.0)</f>
        <v>0</v>
      </c>
      <c r="Q336" s="6">
        <f>IFERROR(__xludf.DUMMYFUNCTION("IF(REGEXMATCH(A336, ""^00-""), 0, IF(AND(NE(F336, """"), NE(G336, """")), 1, 0))"),1.0)</f>
        <v>1</v>
      </c>
      <c r="R336" s="6">
        <f t="shared" si="1"/>
        <v>1</v>
      </c>
    </row>
    <row r="337">
      <c r="A337" s="1" t="s">
        <v>48</v>
      </c>
      <c r="B337" s="1" t="s">
        <v>1097</v>
      </c>
      <c r="C337" s="1">
        <v>476.0</v>
      </c>
      <c r="D337" s="1">
        <v>56.0</v>
      </c>
      <c r="E337" s="1">
        <v>532.0</v>
      </c>
      <c r="F337" s="1" t="s">
        <v>1098</v>
      </c>
      <c r="G337" s="1" t="s">
        <v>1099</v>
      </c>
      <c r="H337" s="1" t="s">
        <v>250</v>
      </c>
      <c r="I337" s="1" t="s">
        <v>172</v>
      </c>
      <c r="J337" s="1" t="s">
        <v>953</v>
      </c>
      <c r="K337" s="1" t="s">
        <v>811</v>
      </c>
      <c r="L337" s="1" t="b">
        <v>1</v>
      </c>
      <c r="M337" s="1" t="s">
        <v>250</v>
      </c>
      <c r="N337" s="6">
        <f>IFERROR(__xludf.DUMMYFUNCTION("IF(REGEXMATCH(A337, ""^00-""), 0, IF(AND(EQ(F337, """"), EQ(G337, """")), 1, 0))"),0.0)</f>
        <v>0</v>
      </c>
      <c r="O337" s="6">
        <f>IFERROR(__xludf.DUMMYFUNCTION("IF(REGEXMATCH(A337, ""^00-""), 0, IF(AND(NE(F337, """"), EQ(G337, """")), 1, 0))"),0.0)</f>
        <v>0</v>
      </c>
      <c r="P337" s="6">
        <f>IFERROR(__xludf.DUMMYFUNCTION("IF(REGEXMATCH(A337, ""^00-""), 0, IF(AND(EQ(F337, """"), NE(G337, """")), 1, 0))"),0.0)</f>
        <v>0</v>
      </c>
      <c r="Q337" s="6">
        <f>IFERROR(__xludf.DUMMYFUNCTION("IF(REGEXMATCH(A337, ""^00-""), 0, IF(AND(NE(F337, """"), NE(G337, """")), 1, 0))"),1.0)</f>
        <v>1</v>
      </c>
      <c r="R337" s="6">
        <f t="shared" si="1"/>
        <v>1</v>
      </c>
    </row>
    <row r="338">
      <c r="A338" s="1" t="s">
        <v>48</v>
      </c>
      <c r="B338" s="1" t="s">
        <v>1100</v>
      </c>
      <c r="C338" s="1">
        <v>349.0</v>
      </c>
      <c r="D338" s="1">
        <v>183.0</v>
      </c>
      <c r="E338" s="1">
        <v>532.0</v>
      </c>
      <c r="F338" s="1"/>
      <c r="G338" s="1" t="s">
        <v>1101</v>
      </c>
      <c r="H338" s="1" t="s">
        <v>182</v>
      </c>
      <c r="I338" s="1" t="s">
        <v>172</v>
      </c>
      <c r="J338" s="1" t="s">
        <v>953</v>
      </c>
      <c r="K338" s="1" t="s">
        <v>811</v>
      </c>
      <c r="L338" s="1" t="b">
        <v>1</v>
      </c>
      <c r="M338" s="1" t="s">
        <v>257</v>
      </c>
      <c r="N338" s="6">
        <f>IFERROR(__xludf.DUMMYFUNCTION("IF(REGEXMATCH(A338, ""^00-""), 0, IF(AND(EQ(F338, """"), EQ(G338, """")), 1, 0))"),0.0)</f>
        <v>0</v>
      </c>
      <c r="O338" s="6">
        <f>IFERROR(__xludf.DUMMYFUNCTION("IF(REGEXMATCH(A338, ""^00-""), 0, IF(AND(NE(F338, """"), EQ(G338, """")), 1, 0))"),0.0)</f>
        <v>0</v>
      </c>
      <c r="P338" s="6">
        <f>IFERROR(__xludf.DUMMYFUNCTION("IF(REGEXMATCH(A338, ""^00-""), 0, IF(AND(EQ(F338, """"), NE(G338, """")), 1, 0))"),1.0)</f>
        <v>1</v>
      </c>
      <c r="Q338" s="6">
        <f>IFERROR(__xludf.DUMMYFUNCTION("IF(REGEXMATCH(A338, ""^00-""), 0, IF(AND(NE(F338, """"), NE(G338, """")), 1, 0))"),0.0)</f>
        <v>0</v>
      </c>
      <c r="R338" s="6">
        <f t="shared" si="1"/>
        <v>1</v>
      </c>
    </row>
    <row r="339">
      <c r="A339" s="1" t="s">
        <v>48</v>
      </c>
      <c r="B339" s="1" t="s">
        <v>1102</v>
      </c>
      <c r="C339" s="1">
        <v>349.0</v>
      </c>
      <c r="D339" s="1">
        <v>183.0</v>
      </c>
      <c r="E339" s="1">
        <v>532.0</v>
      </c>
      <c r="F339" s="1"/>
      <c r="G339" s="1" t="s">
        <v>1103</v>
      </c>
      <c r="H339" s="1" t="s">
        <v>250</v>
      </c>
      <c r="I339" s="1" t="s">
        <v>172</v>
      </c>
      <c r="J339" s="1" t="s">
        <v>953</v>
      </c>
      <c r="K339" s="1" t="s">
        <v>811</v>
      </c>
      <c r="L339" s="1" t="b">
        <v>1</v>
      </c>
      <c r="M339" s="1" t="s">
        <v>250</v>
      </c>
      <c r="N339" s="6">
        <f>IFERROR(__xludf.DUMMYFUNCTION("IF(REGEXMATCH(A339, ""^00-""), 0, IF(AND(EQ(F339, """"), EQ(G339, """")), 1, 0))"),0.0)</f>
        <v>0</v>
      </c>
      <c r="O339" s="6">
        <f>IFERROR(__xludf.DUMMYFUNCTION("IF(REGEXMATCH(A339, ""^00-""), 0, IF(AND(NE(F339, """"), EQ(G339, """")), 1, 0))"),0.0)</f>
        <v>0</v>
      </c>
      <c r="P339" s="6">
        <f>IFERROR(__xludf.DUMMYFUNCTION("IF(REGEXMATCH(A339, ""^00-""), 0, IF(AND(EQ(F339, """"), NE(G339, """")), 1, 0))"),1.0)</f>
        <v>1</v>
      </c>
      <c r="Q339" s="6">
        <f>IFERROR(__xludf.DUMMYFUNCTION("IF(REGEXMATCH(A339, ""^00-""), 0, IF(AND(NE(F339, """"), NE(G339, """")), 1, 0))"),0.0)</f>
        <v>0</v>
      </c>
      <c r="R339" s="6">
        <f t="shared" si="1"/>
        <v>1</v>
      </c>
    </row>
    <row r="340">
      <c r="A340" s="1" t="s">
        <v>50</v>
      </c>
      <c r="B340" s="1" t="s">
        <v>1104</v>
      </c>
      <c r="C340" s="1">
        <v>532.0</v>
      </c>
      <c r="D340" s="1">
        <v>0.0</v>
      </c>
      <c r="E340" s="1">
        <v>532.0</v>
      </c>
      <c r="F340" s="1">
        <v>1.0</v>
      </c>
      <c r="G340" s="1" t="s">
        <v>1105</v>
      </c>
      <c r="H340" s="1" t="s">
        <v>182</v>
      </c>
      <c r="I340" s="1" t="s">
        <v>172</v>
      </c>
      <c r="J340" s="1" t="s">
        <v>655</v>
      </c>
      <c r="K340" s="1" t="s">
        <v>811</v>
      </c>
      <c r="L340" s="1"/>
      <c r="M340" s="1" t="s">
        <v>185</v>
      </c>
      <c r="N340" s="6">
        <f>IFERROR(__xludf.DUMMYFUNCTION("IF(REGEXMATCH(A340, ""^00-""), 0, IF(AND(EQ(F340, """"), EQ(G340, """")), 1, 0))"),0.0)</f>
        <v>0</v>
      </c>
      <c r="O340" s="6">
        <f>IFERROR(__xludf.DUMMYFUNCTION("IF(REGEXMATCH(A340, ""^00-""), 0, IF(AND(NE(F340, """"), EQ(G340, """")), 1, 0))"),0.0)</f>
        <v>0</v>
      </c>
      <c r="P340" s="6">
        <f>IFERROR(__xludf.DUMMYFUNCTION("IF(REGEXMATCH(A340, ""^00-""), 0, IF(AND(EQ(F340, """"), NE(G340, """")), 1, 0))"),0.0)</f>
        <v>0</v>
      </c>
      <c r="Q340" s="6">
        <f>IFERROR(__xludf.DUMMYFUNCTION("IF(REGEXMATCH(A340, ""^00-""), 0, IF(AND(NE(F340, """"), NE(G340, """")), 1, 0))"),1.0)</f>
        <v>1</v>
      </c>
      <c r="R340" s="6">
        <f t="shared" si="1"/>
        <v>1</v>
      </c>
    </row>
    <row r="341">
      <c r="A341" s="1" t="s">
        <v>50</v>
      </c>
      <c r="B341" s="1" t="s">
        <v>1106</v>
      </c>
      <c r="C341" s="1">
        <v>163.0</v>
      </c>
      <c r="D341" s="1">
        <v>369.0</v>
      </c>
      <c r="E341" s="1">
        <v>532.0</v>
      </c>
      <c r="F341" s="1" t="s">
        <v>1107</v>
      </c>
      <c r="G341" s="1"/>
      <c r="H341" s="1" t="s">
        <v>190</v>
      </c>
      <c r="I341" s="1" t="s">
        <v>172</v>
      </c>
      <c r="J341" s="1" t="s">
        <v>655</v>
      </c>
      <c r="K341" s="1" t="s">
        <v>811</v>
      </c>
      <c r="L341" s="1"/>
      <c r="M341" s="1" t="s">
        <v>191</v>
      </c>
      <c r="N341" s="6">
        <f>IFERROR(__xludf.DUMMYFUNCTION("IF(REGEXMATCH(A341, ""^00-""), 0, IF(AND(EQ(F341, """"), EQ(G341, """")), 1, 0))"),0.0)</f>
        <v>0</v>
      </c>
      <c r="O341" s="6">
        <f>IFERROR(__xludf.DUMMYFUNCTION("IF(REGEXMATCH(A341, ""^00-""), 0, IF(AND(NE(F341, """"), EQ(G341, """")), 1, 0))"),1.0)</f>
        <v>1</v>
      </c>
      <c r="P341" s="6">
        <f>IFERROR(__xludf.DUMMYFUNCTION("IF(REGEXMATCH(A341, ""^00-""), 0, IF(AND(EQ(F341, """"), NE(G341, """")), 1, 0))"),0.0)</f>
        <v>0</v>
      </c>
      <c r="Q341" s="6">
        <f>IFERROR(__xludf.DUMMYFUNCTION("IF(REGEXMATCH(A341, ""^00-""), 0, IF(AND(NE(F341, """"), NE(G341, """")), 1, 0))"),0.0)</f>
        <v>0</v>
      </c>
      <c r="R341" s="6">
        <f t="shared" si="1"/>
        <v>1</v>
      </c>
    </row>
    <row r="342">
      <c r="A342" s="1" t="s">
        <v>50</v>
      </c>
      <c r="B342" s="1" t="s">
        <v>658</v>
      </c>
      <c r="C342" s="1">
        <v>7.0</v>
      </c>
      <c r="D342" s="1">
        <v>525.0</v>
      </c>
      <c r="E342" s="1">
        <v>532.0</v>
      </c>
      <c r="F342" s="1" t="s">
        <v>1108</v>
      </c>
      <c r="G342" s="1" t="s">
        <v>1109</v>
      </c>
      <c r="H342" s="1" t="s">
        <v>235</v>
      </c>
      <c r="I342" s="1" t="s">
        <v>172</v>
      </c>
      <c r="J342" s="1" t="s">
        <v>655</v>
      </c>
      <c r="K342" s="1" t="s">
        <v>811</v>
      </c>
      <c r="L342" s="1"/>
      <c r="M342" s="1" t="s">
        <v>658</v>
      </c>
      <c r="N342" s="6">
        <f>IFERROR(__xludf.DUMMYFUNCTION("IF(REGEXMATCH(A342, ""^00-""), 0, IF(AND(EQ(F342, """"), EQ(G342, """")), 1, 0))"),0.0)</f>
        <v>0</v>
      </c>
      <c r="O342" s="6">
        <f>IFERROR(__xludf.DUMMYFUNCTION("IF(REGEXMATCH(A342, ""^00-""), 0, IF(AND(NE(F342, """"), EQ(G342, """")), 1, 0))"),0.0)</f>
        <v>0</v>
      </c>
      <c r="P342" s="6">
        <f>IFERROR(__xludf.DUMMYFUNCTION("IF(REGEXMATCH(A342, ""^00-""), 0, IF(AND(EQ(F342, """"), NE(G342, """")), 1, 0))"),0.0)</f>
        <v>0</v>
      </c>
      <c r="Q342" s="6">
        <f>IFERROR(__xludf.DUMMYFUNCTION("IF(REGEXMATCH(A342, ""^00-""), 0, IF(AND(NE(F342, """"), NE(G342, """")), 1, 0))"),1.0)</f>
        <v>1</v>
      </c>
      <c r="R342" s="6">
        <f t="shared" si="1"/>
        <v>1</v>
      </c>
    </row>
    <row r="343">
      <c r="A343" s="1" t="s">
        <v>50</v>
      </c>
      <c r="B343" s="1" t="s">
        <v>1110</v>
      </c>
      <c r="C343" s="1">
        <v>7.0</v>
      </c>
      <c r="D343" s="1">
        <v>525.0</v>
      </c>
      <c r="E343" s="1">
        <v>532.0</v>
      </c>
      <c r="F343" s="1" t="s">
        <v>1111</v>
      </c>
      <c r="G343" s="1" t="s">
        <v>1112</v>
      </c>
      <c r="H343" s="1" t="s">
        <v>250</v>
      </c>
      <c r="I343" s="1" t="s">
        <v>172</v>
      </c>
      <c r="J343" s="1" t="s">
        <v>655</v>
      </c>
      <c r="K343" s="1" t="s">
        <v>811</v>
      </c>
      <c r="L343" s="1"/>
      <c r="M343" s="1" t="s">
        <v>250</v>
      </c>
      <c r="N343" s="6">
        <f>IFERROR(__xludf.DUMMYFUNCTION("IF(REGEXMATCH(A343, ""^00-""), 0, IF(AND(EQ(F343, """"), EQ(G343, """")), 1, 0))"),0.0)</f>
        <v>0</v>
      </c>
      <c r="O343" s="6">
        <f>IFERROR(__xludf.DUMMYFUNCTION("IF(REGEXMATCH(A343, ""^00-""), 0, IF(AND(NE(F343, """"), EQ(G343, """")), 1, 0))"),0.0)</f>
        <v>0</v>
      </c>
      <c r="P343" s="6">
        <f>IFERROR(__xludf.DUMMYFUNCTION("IF(REGEXMATCH(A343, ""^00-""), 0, IF(AND(EQ(F343, """"), NE(G343, """")), 1, 0))"),0.0)</f>
        <v>0</v>
      </c>
      <c r="Q343" s="6">
        <f>IFERROR(__xludf.DUMMYFUNCTION("IF(REGEXMATCH(A343, ""^00-""), 0, IF(AND(NE(F343, """"), NE(G343, """")), 1, 0))"),1.0)</f>
        <v>1</v>
      </c>
      <c r="R343" s="6">
        <f t="shared" si="1"/>
        <v>1</v>
      </c>
    </row>
    <row r="344">
      <c r="A344" s="1" t="s">
        <v>50</v>
      </c>
      <c r="B344" s="1" t="s">
        <v>1113</v>
      </c>
      <c r="C344" s="1">
        <v>7.0</v>
      </c>
      <c r="D344" s="1">
        <v>525.0</v>
      </c>
      <c r="E344" s="1">
        <v>532.0</v>
      </c>
      <c r="F344" s="1" t="s">
        <v>1114</v>
      </c>
      <c r="G344" s="1" t="s">
        <v>1115</v>
      </c>
      <c r="H344" s="1" t="s">
        <v>254</v>
      </c>
      <c r="I344" s="1" t="s">
        <v>172</v>
      </c>
      <c r="J344" s="1" t="s">
        <v>655</v>
      </c>
      <c r="K344" s="1" t="s">
        <v>811</v>
      </c>
      <c r="L344" s="1"/>
      <c r="M344" s="1" t="s">
        <v>254</v>
      </c>
      <c r="N344" s="6">
        <f>IFERROR(__xludf.DUMMYFUNCTION("IF(REGEXMATCH(A344, ""^00-""), 0, IF(AND(EQ(F344, """"), EQ(G344, """")), 1, 0))"),0.0)</f>
        <v>0</v>
      </c>
      <c r="O344" s="6">
        <f>IFERROR(__xludf.DUMMYFUNCTION("IF(REGEXMATCH(A344, ""^00-""), 0, IF(AND(NE(F344, """"), EQ(G344, """")), 1, 0))"),0.0)</f>
        <v>0</v>
      </c>
      <c r="P344" s="6">
        <f>IFERROR(__xludf.DUMMYFUNCTION("IF(REGEXMATCH(A344, ""^00-""), 0, IF(AND(EQ(F344, """"), NE(G344, """")), 1, 0))"),0.0)</f>
        <v>0</v>
      </c>
      <c r="Q344" s="6">
        <f>IFERROR(__xludf.DUMMYFUNCTION("IF(REGEXMATCH(A344, ""^00-""), 0, IF(AND(NE(F344, """"), NE(G344, """")), 1, 0))"),1.0)</f>
        <v>1</v>
      </c>
      <c r="R344" s="6">
        <f t="shared" si="1"/>
        <v>1</v>
      </c>
    </row>
    <row r="345">
      <c r="A345" s="1" t="s">
        <v>50</v>
      </c>
      <c r="B345" s="1" t="s">
        <v>1116</v>
      </c>
      <c r="C345" s="1">
        <v>7.0</v>
      </c>
      <c r="D345" s="1">
        <v>525.0</v>
      </c>
      <c r="E345" s="1">
        <v>532.0</v>
      </c>
      <c r="F345" s="1" t="s">
        <v>1117</v>
      </c>
      <c r="G345" s="1" t="s">
        <v>1118</v>
      </c>
      <c r="H345" s="1" t="s">
        <v>235</v>
      </c>
      <c r="I345" s="1" t="s">
        <v>172</v>
      </c>
      <c r="J345" s="1" t="s">
        <v>655</v>
      </c>
      <c r="K345" s="1" t="s">
        <v>811</v>
      </c>
      <c r="L345" s="1"/>
      <c r="M345" s="1" t="s">
        <v>665</v>
      </c>
      <c r="N345" s="6">
        <f>IFERROR(__xludf.DUMMYFUNCTION("IF(REGEXMATCH(A345, ""^00-""), 0, IF(AND(EQ(F345, """"), EQ(G345, """")), 1, 0))"),0.0)</f>
        <v>0</v>
      </c>
      <c r="O345" s="6">
        <f>IFERROR(__xludf.DUMMYFUNCTION("IF(REGEXMATCH(A345, ""^00-""), 0, IF(AND(NE(F345, """"), EQ(G345, """")), 1, 0))"),0.0)</f>
        <v>0</v>
      </c>
      <c r="P345" s="6">
        <f>IFERROR(__xludf.DUMMYFUNCTION("IF(REGEXMATCH(A345, ""^00-""), 0, IF(AND(EQ(F345, """"), NE(G345, """")), 1, 0))"),0.0)</f>
        <v>0</v>
      </c>
      <c r="Q345" s="6">
        <f>IFERROR(__xludf.DUMMYFUNCTION("IF(REGEXMATCH(A345, ""^00-""), 0, IF(AND(NE(F345, """"), NE(G345, """")), 1, 0))"),1.0)</f>
        <v>1</v>
      </c>
      <c r="R345" s="6">
        <f t="shared" si="1"/>
        <v>1</v>
      </c>
    </row>
    <row r="346">
      <c r="A346" s="1" t="s">
        <v>50</v>
      </c>
      <c r="B346" s="1" t="s">
        <v>408</v>
      </c>
      <c r="C346" s="1">
        <v>519.0</v>
      </c>
      <c r="D346" s="1">
        <v>13.0</v>
      </c>
      <c r="E346" s="1">
        <v>532.0</v>
      </c>
      <c r="F346" s="1" t="s">
        <v>1119</v>
      </c>
      <c r="G346" s="1" t="s">
        <v>1120</v>
      </c>
      <c r="H346" s="1" t="s">
        <v>190</v>
      </c>
      <c r="I346" s="1" t="s">
        <v>172</v>
      </c>
      <c r="J346" s="1" t="s">
        <v>655</v>
      </c>
      <c r="K346" s="1" t="s">
        <v>811</v>
      </c>
      <c r="L346" s="1"/>
      <c r="M346" s="1" t="s">
        <v>191</v>
      </c>
      <c r="N346" s="6">
        <f>IFERROR(__xludf.DUMMYFUNCTION("IF(REGEXMATCH(A346, ""^00-""), 0, IF(AND(EQ(F346, """"), EQ(G346, """")), 1, 0))"),0.0)</f>
        <v>0</v>
      </c>
      <c r="O346" s="6">
        <f>IFERROR(__xludf.DUMMYFUNCTION("IF(REGEXMATCH(A346, ""^00-""), 0, IF(AND(NE(F346, """"), EQ(G346, """")), 1, 0))"),0.0)</f>
        <v>0</v>
      </c>
      <c r="P346" s="6">
        <f>IFERROR(__xludf.DUMMYFUNCTION("IF(REGEXMATCH(A346, ""^00-""), 0, IF(AND(EQ(F346, """"), NE(G346, """")), 1, 0))"),0.0)</f>
        <v>0</v>
      </c>
      <c r="Q346" s="6">
        <f>IFERROR(__xludf.DUMMYFUNCTION("IF(REGEXMATCH(A346, ""^00-""), 0, IF(AND(NE(F346, """"), NE(G346, """")), 1, 0))"),1.0)</f>
        <v>1</v>
      </c>
      <c r="R346" s="6">
        <f t="shared" si="1"/>
        <v>1</v>
      </c>
    </row>
    <row r="347">
      <c r="A347" s="1" t="s">
        <v>50</v>
      </c>
      <c r="B347" s="1" t="s">
        <v>1121</v>
      </c>
      <c r="C347" s="1">
        <v>209.0</v>
      </c>
      <c r="D347" s="1">
        <v>323.0</v>
      </c>
      <c r="E347" s="1">
        <v>532.0</v>
      </c>
      <c r="F347" s="1" t="s">
        <v>1122</v>
      </c>
      <c r="G347" s="1" t="s">
        <v>1123</v>
      </c>
      <c r="H347" s="1" t="s">
        <v>235</v>
      </c>
      <c r="I347" s="1" t="s">
        <v>172</v>
      </c>
      <c r="J347" s="1" t="s">
        <v>655</v>
      </c>
      <c r="K347" s="1" t="s">
        <v>811</v>
      </c>
      <c r="L347" s="1"/>
      <c r="M347" s="1" t="s">
        <v>408</v>
      </c>
      <c r="N347" s="6">
        <f>IFERROR(__xludf.DUMMYFUNCTION("IF(REGEXMATCH(A347, ""^00-""), 0, IF(AND(EQ(F347, """"), EQ(G347, """")), 1, 0))"),0.0)</f>
        <v>0</v>
      </c>
      <c r="O347" s="6">
        <f>IFERROR(__xludf.DUMMYFUNCTION("IF(REGEXMATCH(A347, ""^00-""), 0, IF(AND(NE(F347, """"), EQ(G347, """")), 1, 0))"),0.0)</f>
        <v>0</v>
      </c>
      <c r="P347" s="6">
        <f>IFERROR(__xludf.DUMMYFUNCTION("IF(REGEXMATCH(A347, ""^00-""), 0, IF(AND(EQ(F347, """"), NE(G347, """")), 1, 0))"),0.0)</f>
        <v>0</v>
      </c>
      <c r="Q347" s="6">
        <f>IFERROR(__xludf.DUMMYFUNCTION("IF(REGEXMATCH(A347, ""^00-""), 0, IF(AND(NE(F347, """"), NE(G347, """")), 1, 0))"),1.0)</f>
        <v>1</v>
      </c>
      <c r="R347" s="6">
        <f t="shared" si="1"/>
        <v>1</v>
      </c>
    </row>
    <row r="348">
      <c r="A348" s="1" t="s">
        <v>50</v>
      </c>
      <c r="B348" s="1" t="s">
        <v>1124</v>
      </c>
      <c r="C348" s="1">
        <v>360.0</v>
      </c>
      <c r="D348" s="1">
        <v>172.0</v>
      </c>
      <c r="E348" s="1">
        <v>532.0</v>
      </c>
      <c r="F348" s="1"/>
      <c r="G348" s="1" t="s">
        <v>1125</v>
      </c>
      <c r="H348" s="1" t="s">
        <v>190</v>
      </c>
      <c r="I348" s="1" t="s">
        <v>172</v>
      </c>
      <c r="J348" s="1" t="s">
        <v>655</v>
      </c>
      <c r="K348" s="1" t="s">
        <v>811</v>
      </c>
      <c r="L348" s="1"/>
      <c r="M348" s="1" t="s">
        <v>191</v>
      </c>
      <c r="N348" s="6">
        <f>IFERROR(__xludf.DUMMYFUNCTION("IF(REGEXMATCH(A348, ""^00-""), 0, IF(AND(EQ(F348, """"), EQ(G348, """")), 1, 0))"),0.0)</f>
        <v>0</v>
      </c>
      <c r="O348" s="6">
        <f>IFERROR(__xludf.DUMMYFUNCTION("IF(REGEXMATCH(A348, ""^00-""), 0, IF(AND(NE(F348, """"), EQ(G348, """")), 1, 0))"),0.0)</f>
        <v>0</v>
      </c>
      <c r="P348" s="6">
        <f>IFERROR(__xludf.DUMMYFUNCTION("IF(REGEXMATCH(A348, ""^00-""), 0, IF(AND(EQ(F348, """"), NE(G348, """")), 1, 0))"),1.0)</f>
        <v>1</v>
      </c>
      <c r="Q348" s="6">
        <f>IFERROR(__xludf.DUMMYFUNCTION("IF(REGEXMATCH(A348, ""^00-""), 0, IF(AND(NE(F348, """"), NE(G348, """")), 1, 0))"),0.0)</f>
        <v>0</v>
      </c>
      <c r="R348" s="6">
        <f t="shared" si="1"/>
        <v>1</v>
      </c>
    </row>
    <row r="349">
      <c r="A349" s="1" t="s">
        <v>50</v>
      </c>
      <c r="B349" s="1" t="s">
        <v>1126</v>
      </c>
      <c r="C349" s="1">
        <v>16.0</v>
      </c>
      <c r="D349" s="1">
        <v>516.0</v>
      </c>
      <c r="E349" s="1">
        <v>532.0</v>
      </c>
      <c r="F349" s="1"/>
      <c r="G349" s="1" t="s">
        <v>1127</v>
      </c>
      <c r="H349" s="1" t="s">
        <v>235</v>
      </c>
      <c r="I349" s="1" t="s">
        <v>172</v>
      </c>
      <c r="J349" s="1" t="s">
        <v>655</v>
      </c>
      <c r="K349" s="1" t="s">
        <v>811</v>
      </c>
      <c r="L349" s="1"/>
      <c r="M349" s="1" t="s">
        <v>408</v>
      </c>
      <c r="N349" s="6">
        <f>IFERROR(__xludf.DUMMYFUNCTION("IF(REGEXMATCH(A349, ""^00-""), 0, IF(AND(EQ(F349, """"), EQ(G349, """")), 1, 0))"),0.0)</f>
        <v>0</v>
      </c>
      <c r="O349" s="6">
        <f>IFERROR(__xludf.DUMMYFUNCTION("IF(REGEXMATCH(A349, ""^00-""), 0, IF(AND(NE(F349, """"), EQ(G349, """")), 1, 0))"),0.0)</f>
        <v>0</v>
      </c>
      <c r="P349" s="6">
        <f>IFERROR(__xludf.DUMMYFUNCTION("IF(REGEXMATCH(A349, ""^00-""), 0, IF(AND(EQ(F349, """"), NE(G349, """")), 1, 0))"),1.0)</f>
        <v>1</v>
      </c>
      <c r="Q349" s="6">
        <f>IFERROR(__xludf.DUMMYFUNCTION("IF(REGEXMATCH(A349, ""^00-""), 0, IF(AND(NE(F349, """"), NE(G349, """")), 1, 0))"),0.0)</f>
        <v>0</v>
      </c>
      <c r="R349" s="6">
        <f t="shared" si="1"/>
        <v>1</v>
      </c>
    </row>
    <row r="350">
      <c r="A350" s="1" t="s">
        <v>52</v>
      </c>
      <c r="B350" s="1" t="s">
        <v>1128</v>
      </c>
      <c r="C350" s="1">
        <v>2757.0</v>
      </c>
      <c r="D350" s="1">
        <v>0.0</v>
      </c>
      <c r="E350" s="1">
        <v>2757.0</v>
      </c>
      <c r="F350" s="1" t="s">
        <v>1129</v>
      </c>
      <c r="G350" s="1"/>
      <c r="H350" s="1" t="s">
        <v>182</v>
      </c>
      <c r="I350" s="1" t="s">
        <v>172</v>
      </c>
      <c r="J350" s="1" t="s">
        <v>674</v>
      </c>
      <c r="K350" s="1" t="s">
        <v>811</v>
      </c>
      <c r="L350" s="1"/>
      <c r="M350" s="1" t="s">
        <v>185</v>
      </c>
      <c r="N350" s="6">
        <f>IFERROR(__xludf.DUMMYFUNCTION("IF(REGEXMATCH(A350, ""^00-""), 0, IF(AND(EQ(F350, """"), EQ(G350, """")), 1, 0))"),0.0)</f>
        <v>0</v>
      </c>
      <c r="O350" s="6">
        <f>IFERROR(__xludf.DUMMYFUNCTION("IF(REGEXMATCH(A350, ""^00-""), 0, IF(AND(NE(F350, """"), EQ(G350, """")), 1, 0))"),1.0)</f>
        <v>1</v>
      </c>
      <c r="P350" s="6">
        <f>IFERROR(__xludf.DUMMYFUNCTION("IF(REGEXMATCH(A350, ""^00-""), 0, IF(AND(EQ(F350, """"), NE(G350, """")), 1, 0))"),0.0)</f>
        <v>0</v>
      </c>
      <c r="Q350" s="6">
        <f>IFERROR(__xludf.DUMMYFUNCTION("IF(REGEXMATCH(A350, ""^00-""), 0, IF(AND(NE(F350, """"), NE(G350, """")), 1, 0))"),0.0)</f>
        <v>0</v>
      </c>
      <c r="R350" s="6">
        <f t="shared" si="1"/>
        <v>1</v>
      </c>
    </row>
    <row r="351">
      <c r="A351" s="1" t="s">
        <v>52</v>
      </c>
      <c r="B351" s="1" t="s">
        <v>1130</v>
      </c>
      <c r="C351" s="1">
        <v>25.0</v>
      </c>
      <c r="D351" s="1">
        <v>2732.0</v>
      </c>
      <c r="E351" s="1">
        <v>2757.0</v>
      </c>
      <c r="F351" s="1" t="s">
        <v>673</v>
      </c>
      <c r="G351" s="1"/>
      <c r="H351" s="1" t="s">
        <v>250</v>
      </c>
      <c r="I351" s="1" t="s">
        <v>172</v>
      </c>
      <c r="J351" s="1" t="s">
        <v>674</v>
      </c>
      <c r="K351" s="1" t="s">
        <v>811</v>
      </c>
      <c r="L351" s="1"/>
      <c r="M351" s="1" t="s">
        <v>250</v>
      </c>
      <c r="N351" s="6">
        <f>IFERROR(__xludf.DUMMYFUNCTION("IF(REGEXMATCH(A351, ""^00-""), 0, IF(AND(EQ(F351, """"), EQ(G351, """")), 1, 0))"),0.0)</f>
        <v>0</v>
      </c>
      <c r="O351" s="6">
        <f>IFERROR(__xludf.DUMMYFUNCTION("IF(REGEXMATCH(A351, ""^00-""), 0, IF(AND(NE(F351, """"), EQ(G351, """")), 1, 0))"),1.0)</f>
        <v>1</v>
      </c>
      <c r="P351" s="6">
        <f>IFERROR(__xludf.DUMMYFUNCTION("IF(REGEXMATCH(A351, ""^00-""), 0, IF(AND(EQ(F351, """"), NE(G351, """")), 1, 0))"),0.0)</f>
        <v>0</v>
      </c>
      <c r="Q351" s="6">
        <f>IFERROR(__xludf.DUMMYFUNCTION("IF(REGEXMATCH(A351, ""^00-""), 0, IF(AND(NE(F351, """"), NE(G351, """")), 1, 0))"),0.0)</f>
        <v>0</v>
      </c>
      <c r="R351" s="6">
        <f t="shared" si="1"/>
        <v>1</v>
      </c>
    </row>
    <row r="352">
      <c r="A352" s="1" t="s">
        <v>52</v>
      </c>
      <c r="B352" s="1" t="s">
        <v>1131</v>
      </c>
      <c r="C352" s="1">
        <v>25.0</v>
      </c>
      <c r="D352" s="1">
        <v>2732.0</v>
      </c>
      <c r="E352" s="1">
        <v>2757.0</v>
      </c>
      <c r="F352" s="1" t="s">
        <v>676</v>
      </c>
      <c r="G352" s="1"/>
      <c r="H352" s="1" t="s">
        <v>254</v>
      </c>
      <c r="I352" s="1" t="s">
        <v>172</v>
      </c>
      <c r="J352" s="1" t="s">
        <v>674</v>
      </c>
      <c r="K352" s="1" t="s">
        <v>811</v>
      </c>
      <c r="L352" s="1"/>
      <c r="M352" s="1" t="s">
        <v>254</v>
      </c>
      <c r="N352" s="6">
        <f>IFERROR(__xludf.DUMMYFUNCTION("IF(REGEXMATCH(A352, ""^00-""), 0, IF(AND(EQ(F352, """"), EQ(G352, """")), 1, 0))"),0.0)</f>
        <v>0</v>
      </c>
      <c r="O352" s="6">
        <f>IFERROR(__xludf.DUMMYFUNCTION("IF(REGEXMATCH(A352, ""^00-""), 0, IF(AND(NE(F352, """"), EQ(G352, """")), 1, 0))"),1.0)</f>
        <v>1</v>
      </c>
      <c r="P352" s="6">
        <f>IFERROR(__xludf.DUMMYFUNCTION("IF(REGEXMATCH(A352, ""^00-""), 0, IF(AND(EQ(F352, """"), NE(G352, """")), 1, 0))"),0.0)</f>
        <v>0</v>
      </c>
      <c r="Q352" s="6">
        <f>IFERROR(__xludf.DUMMYFUNCTION("IF(REGEXMATCH(A352, ""^00-""), 0, IF(AND(NE(F352, """"), NE(G352, """")), 1, 0))"),0.0)</f>
        <v>0</v>
      </c>
      <c r="R352" s="6">
        <f t="shared" si="1"/>
        <v>1</v>
      </c>
    </row>
    <row r="353">
      <c r="A353" s="1" t="s">
        <v>52</v>
      </c>
      <c r="B353" s="1" t="s">
        <v>1132</v>
      </c>
      <c r="C353" s="1">
        <v>1049.0</v>
      </c>
      <c r="D353" s="1">
        <v>1708.0</v>
      </c>
      <c r="E353" s="1">
        <v>2757.0</v>
      </c>
      <c r="F353" s="1" t="s">
        <v>678</v>
      </c>
      <c r="G353" s="1" t="s">
        <v>679</v>
      </c>
      <c r="H353" s="1" t="s">
        <v>235</v>
      </c>
      <c r="I353" s="1" t="s">
        <v>172</v>
      </c>
      <c r="J353" s="1" t="s">
        <v>674</v>
      </c>
      <c r="K353" s="1" t="s">
        <v>811</v>
      </c>
      <c r="L353" s="1"/>
      <c r="M353" s="1" t="s">
        <v>680</v>
      </c>
      <c r="N353" s="6">
        <f>IFERROR(__xludf.DUMMYFUNCTION("IF(REGEXMATCH(A353, ""^00-""), 0, IF(AND(EQ(F353, """"), EQ(G353, """")), 1, 0))"),0.0)</f>
        <v>0</v>
      </c>
      <c r="O353" s="6">
        <f>IFERROR(__xludf.DUMMYFUNCTION("IF(REGEXMATCH(A353, ""^00-""), 0, IF(AND(NE(F353, """"), EQ(G353, """")), 1, 0))"),0.0)</f>
        <v>0</v>
      </c>
      <c r="P353" s="6">
        <f>IFERROR(__xludf.DUMMYFUNCTION("IF(REGEXMATCH(A353, ""^00-""), 0, IF(AND(EQ(F353, """"), NE(G353, """")), 1, 0))"),0.0)</f>
        <v>0</v>
      </c>
      <c r="Q353" s="6">
        <f>IFERROR(__xludf.DUMMYFUNCTION("IF(REGEXMATCH(A353, ""^00-""), 0, IF(AND(NE(F353, """"), NE(G353, """")), 1, 0))"),1.0)</f>
        <v>1</v>
      </c>
      <c r="R353" s="6">
        <f t="shared" si="1"/>
        <v>1</v>
      </c>
    </row>
    <row r="354">
      <c r="A354" s="1" t="s">
        <v>52</v>
      </c>
      <c r="B354" s="1" t="s">
        <v>1133</v>
      </c>
      <c r="C354" s="1">
        <v>1083.0</v>
      </c>
      <c r="D354" s="1">
        <v>1674.0</v>
      </c>
      <c r="E354" s="1">
        <v>2757.0</v>
      </c>
      <c r="F354" s="1" t="s">
        <v>682</v>
      </c>
      <c r="G354" s="1" t="s">
        <v>683</v>
      </c>
      <c r="H354" s="1" t="s">
        <v>235</v>
      </c>
      <c r="I354" s="1" t="s">
        <v>172</v>
      </c>
      <c r="J354" s="1" t="s">
        <v>674</v>
      </c>
      <c r="K354" s="1" t="s">
        <v>811</v>
      </c>
      <c r="L354" s="1"/>
      <c r="M354" s="1" t="s">
        <v>684</v>
      </c>
      <c r="N354" s="6">
        <f>IFERROR(__xludf.DUMMYFUNCTION("IF(REGEXMATCH(A354, ""^00-""), 0, IF(AND(EQ(F354, """"), EQ(G354, """")), 1, 0))"),0.0)</f>
        <v>0</v>
      </c>
      <c r="O354" s="6">
        <f>IFERROR(__xludf.DUMMYFUNCTION("IF(REGEXMATCH(A354, ""^00-""), 0, IF(AND(NE(F354, """"), EQ(G354, """")), 1, 0))"),0.0)</f>
        <v>0</v>
      </c>
      <c r="P354" s="6">
        <f>IFERROR(__xludf.DUMMYFUNCTION("IF(REGEXMATCH(A354, ""^00-""), 0, IF(AND(EQ(F354, """"), NE(G354, """")), 1, 0))"),0.0)</f>
        <v>0</v>
      </c>
      <c r="Q354" s="6">
        <f>IFERROR(__xludf.DUMMYFUNCTION("IF(REGEXMATCH(A354, ""^00-""), 0, IF(AND(NE(F354, """"), NE(G354, """")), 1, 0))"),1.0)</f>
        <v>1</v>
      </c>
      <c r="R354" s="6">
        <f t="shared" si="1"/>
        <v>1</v>
      </c>
    </row>
    <row r="355">
      <c r="A355" s="1" t="s">
        <v>52</v>
      </c>
      <c r="B355" s="1" t="s">
        <v>1134</v>
      </c>
      <c r="C355" s="1">
        <v>16.0</v>
      </c>
      <c r="D355" s="1">
        <v>2741.0</v>
      </c>
      <c r="E355" s="1">
        <v>2757.0</v>
      </c>
      <c r="F355" s="1" t="s">
        <v>686</v>
      </c>
      <c r="G355" s="1" t="s">
        <v>687</v>
      </c>
      <c r="H355" s="1" t="s">
        <v>235</v>
      </c>
      <c r="I355" s="1" t="s">
        <v>172</v>
      </c>
      <c r="J355" s="1" t="s">
        <v>674</v>
      </c>
      <c r="K355" s="1" t="s">
        <v>811</v>
      </c>
      <c r="L355" s="1"/>
      <c r="M355" s="1" t="s">
        <v>688</v>
      </c>
      <c r="N355" s="6">
        <f>IFERROR(__xludf.DUMMYFUNCTION("IF(REGEXMATCH(A355, ""^00-""), 0, IF(AND(EQ(F355, """"), EQ(G355, """")), 1, 0))"),0.0)</f>
        <v>0</v>
      </c>
      <c r="O355" s="6">
        <f>IFERROR(__xludf.DUMMYFUNCTION("IF(REGEXMATCH(A355, ""^00-""), 0, IF(AND(NE(F355, """"), EQ(G355, """")), 1, 0))"),0.0)</f>
        <v>0</v>
      </c>
      <c r="P355" s="6">
        <f>IFERROR(__xludf.DUMMYFUNCTION("IF(REGEXMATCH(A355, ""^00-""), 0, IF(AND(EQ(F355, """"), NE(G355, """")), 1, 0))"),0.0)</f>
        <v>0</v>
      </c>
      <c r="Q355" s="6">
        <f>IFERROR(__xludf.DUMMYFUNCTION("IF(REGEXMATCH(A355, ""^00-""), 0, IF(AND(NE(F355, """"), NE(G355, """")), 1, 0))"),1.0)</f>
        <v>1</v>
      </c>
      <c r="R355" s="6">
        <f t="shared" si="1"/>
        <v>1</v>
      </c>
    </row>
    <row r="356">
      <c r="A356" s="1" t="s">
        <v>52</v>
      </c>
      <c r="B356" s="1" t="s">
        <v>1135</v>
      </c>
      <c r="C356" s="1">
        <v>94.0</v>
      </c>
      <c r="D356" s="1">
        <v>2663.0</v>
      </c>
      <c r="E356" s="1">
        <v>2757.0</v>
      </c>
      <c r="F356" s="1" t="s">
        <v>690</v>
      </c>
      <c r="G356" s="1" t="s">
        <v>691</v>
      </c>
      <c r="H356" s="1" t="s">
        <v>235</v>
      </c>
      <c r="I356" s="1" t="s">
        <v>172</v>
      </c>
      <c r="J356" s="1" t="s">
        <v>674</v>
      </c>
      <c r="K356" s="1" t="s">
        <v>811</v>
      </c>
      <c r="L356" s="1"/>
      <c r="M356" s="1" t="s">
        <v>692</v>
      </c>
      <c r="N356" s="6">
        <f>IFERROR(__xludf.DUMMYFUNCTION("IF(REGEXMATCH(A356, ""^00-""), 0, IF(AND(EQ(F356, """"), EQ(G356, """")), 1, 0))"),0.0)</f>
        <v>0</v>
      </c>
      <c r="O356" s="6">
        <f>IFERROR(__xludf.DUMMYFUNCTION("IF(REGEXMATCH(A356, ""^00-""), 0, IF(AND(NE(F356, """"), EQ(G356, """")), 1, 0))"),0.0)</f>
        <v>0</v>
      </c>
      <c r="P356" s="6">
        <f>IFERROR(__xludf.DUMMYFUNCTION("IF(REGEXMATCH(A356, ""^00-""), 0, IF(AND(EQ(F356, """"), NE(G356, """")), 1, 0))"),0.0)</f>
        <v>0</v>
      </c>
      <c r="Q356" s="6">
        <f>IFERROR(__xludf.DUMMYFUNCTION("IF(REGEXMATCH(A356, ""^00-""), 0, IF(AND(NE(F356, """"), NE(G356, """")), 1, 0))"),1.0)</f>
        <v>1</v>
      </c>
      <c r="R356" s="6">
        <f t="shared" si="1"/>
        <v>1</v>
      </c>
    </row>
    <row r="357">
      <c r="A357" s="1" t="s">
        <v>52</v>
      </c>
      <c r="B357" s="1" t="s">
        <v>1136</v>
      </c>
      <c r="C357" s="1">
        <v>2236.0</v>
      </c>
      <c r="D357" s="1">
        <v>521.0</v>
      </c>
      <c r="E357" s="1">
        <v>2757.0</v>
      </c>
      <c r="F357" s="1" t="s">
        <v>694</v>
      </c>
      <c r="G357" s="1" t="s">
        <v>695</v>
      </c>
      <c r="H357" s="1" t="s">
        <v>182</v>
      </c>
      <c r="I357" s="1" t="s">
        <v>172</v>
      </c>
      <c r="J357" s="1" t="s">
        <v>674</v>
      </c>
      <c r="K357" s="1" t="s">
        <v>811</v>
      </c>
      <c r="L357" s="1"/>
      <c r="M357" s="1" t="s">
        <v>257</v>
      </c>
      <c r="N357" s="6">
        <f>IFERROR(__xludf.DUMMYFUNCTION("IF(REGEXMATCH(A357, ""^00-""), 0, IF(AND(EQ(F357, """"), EQ(G357, """")), 1, 0))"),0.0)</f>
        <v>0</v>
      </c>
      <c r="O357" s="6">
        <f>IFERROR(__xludf.DUMMYFUNCTION("IF(REGEXMATCH(A357, ""^00-""), 0, IF(AND(NE(F357, """"), EQ(G357, """")), 1, 0))"),0.0)</f>
        <v>0</v>
      </c>
      <c r="P357" s="6">
        <f>IFERROR(__xludf.DUMMYFUNCTION("IF(REGEXMATCH(A357, ""^00-""), 0, IF(AND(EQ(F357, """"), NE(G357, """")), 1, 0))"),0.0)</f>
        <v>0</v>
      </c>
      <c r="Q357" s="6">
        <f>IFERROR(__xludf.DUMMYFUNCTION("IF(REGEXMATCH(A357, ""^00-""), 0, IF(AND(NE(F357, """"), NE(G357, """")), 1, 0))"),1.0)</f>
        <v>1</v>
      </c>
      <c r="R357" s="6">
        <f t="shared" si="1"/>
        <v>1</v>
      </c>
    </row>
    <row r="358">
      <c r="A358" s="1" t="s">
        <v>52</v>
      </c>
      <c r="B358" s="1" t="s">
        <v>1137</v>
      </c>
      <c r="C358" s="1">
        <v>2233.0</v>
      </c>
      <c r="D358" s="1">
        <v>524.0</v>
      </c>
      <c r="E358" s="1">
        <v>2757.0</v>
      </c>
      <c r="F358" s="1" t="s">
        <v>697</v>
      </c>
      <c r="G358" s="1" t="s">
        <v>698</v>
      </c>
      <c r="H358" s="1" t="s">
        <v>182</v>
      </c>
      <c r="I358" s="1" t="s">
        <v>172</v>
      </c>
      <c r="J358" s="1" t="s">
        <v>674</v>
      </c>
      <c r="K358" s="1" t="s">
        <v>811</v>
      </c>
      <c r="L358" s="1"/>
      <c r="M358" s="1" t="s">
        <v>257</v>
      </c>
      <c r="N358" s="6">
        <f>IFERROR(__xludf.DUMMYFUNCTION("IF(REGEXMATCH(A358, ""^00-""), 0, IF(AND(EQ(F358, """"), EQ(G358, """")), 1, 0))"),0.0)</f>
        <v>0</v>
      </c>
      <c r="O358" s="6">
        <f>IFERROR(__xludf.DUMMYFUNCTION("IF(REGEXMATCH(A358, ""^00-""), 0, IF(AND(NE(F358, """"), EQ(G358, """")), 1, 0))"),0.0)</f>
        <v>0</v>
      </c>
      <c r="P358" s="6">
        <f>IFERROR(__xludf.DUMMYFUNCTION("IF(REGEXMATCH(A358, ""^00-""), 0, IF(AND(EQ(F358, """"), NE(G358, """")), 1, 0))"),0.0)</f>
        <v>0</v>
      </c>
      <c r="Q358" s="6">
        <f>IFERROR(__xludf.DUMMYFUNCTION("IF(REGEXMATCH(A358, ""^00-""), 0, IF(AND(NE(F358, """"), NE(G358, """")), 1, 0))"),1.0)</f>
        <v>1</v>
      </c>
      <c r="R358" s="6">
        <f t="shared" si="1"/>
        <v>1</v>
      </c>
    </row>
    <row r="359">
      <c r="A359" s="1" t="s">
        <v>54</v>
      </c>
      <c r="B359" s="1" t="s">
        <v>1138</v>
      </c>
      <c r="C359" s="1">
        <v>525.0</v>
      </c>
      <c r="D359" s="1">
        <v>0.0</v>
      </c>
      <c r="E359" s="1">
        <v>525.0</v>
      </c>
      <c r="F359" s="1" t="s">
        <v>1139</v>
      </c>
      <c r="G359" s="1" t="s">
        <v>1140</v>
      </c>
      <c r="H359" s="1" t="s">
        <v>182</v>
      </c>
      <c r="I359" s="1" t="s">
        <v>172</v>
      </c>
      <c r="J359" s="1" t="s">
        <v>702</v>
      </c>
      <c r="K359" s="1" t="s">
        <v>811</v>
      </c>
      <c r="L359" s="1"/>
      <c r="M359" s="1" t="s">
        <v>185</v>
      </c>
      <c r="N359" s="6">
        <f>IFERROR(__xludf.DUMMYFUNCTION("IF(REGEXMATCH(A359, ""^00-""), 0, IF(AND(EQ(F359, """"), EQ(G359, """")), 1, 0))"),0.0)</f>
        <v>0</v>
      </c>
      <c r="O359" s="6">
        <f>IFERROR(__xludf.DUMMYFUNCTION("IF(REGEXMATCH(A359, ""^00-""), 0, IF(AND(NE(F359, """"), EQ(G359, """")), 1, 0))"),0.0)</f>
        <v>0</v>
      </c>
      <c r="P359" s="6">
        <f>IFERROR(__xludf.DUMMYFUNCTION("IF(REGEXMATCH(A359, ""^00-""), 0, IF(AND(EQ(F359, """"), NE(G359, """")), 1, 0))"),0.0)</f>
        <v>0</v>
      </c>
      <c r="Q359" s="6">
        <f>IFERROR(__xludf.DUMMYFUNCTION("IF(REGEXMATCH(A359, ""^00-""), 0, IF(AND(NE(F359, """"), NE(G359, """")), 1, 0))"),1.0)</f>
        <v>1</v>
      </c>
      <c r="R359" s="6">
        <f t="shared" si="1"/>
        <v>1</v>
      </c>
    </row>
    <row r="360">
      <c r="A360" s="1" t="s">
        <v>54</v>
      </c>
      <c r="B360" s="1" t="s">
        <v>1141</v>
      </c>
      <c r="C360" s="1">
        <v>525.0</v>
      </c>
      <c r="D360" s="1">
        <v>0.0</v>
      </c>
      <c r="E360" s="1">
        <v>525.0</v>
      </c>
      <c r="F360" s="1" t="s">
        <v>700</v>
      </c>
      <c r="G360" s="1" t="s">
        <v>701</v>
      </c>
      <c r="H360" s="1" t="s">
        <v>190</v>
      </c>
      <c r="I360" s="1" t="s">
        <v>172</v>
      </c>
      <c r="J360" s="1" t="s">
        <v>702</v>
      </c>
      <c r="K360" s="1" t="s">
        <v>811</v>
      </c>
      <c r="L360" s="1"/>
      <c r="M360" s="1" t="s">
        <v>191</v>
      </c>
      <c r="N360" s="6">
        <f>IFERROR(__xludf.DUMMYFUNCTION("IF(REGEXMATCH(A360, ""^00-""), 0, IF(AND(EQ(F360, """"), EQ(G360, """")), 1, 0))"),0.0)</f>
        <v>0</v>
      </c>
      <c r="O360" s="6">
        <f>IFERROR(__xludf.DUMMYFUNCTION("IF(REGEXMATCH(A360, ""^00-""), 0, IF(AND(NE(F360, """"), EQ(G360, """")), 1, 0))"),0.0)</f>
        <v>0</v>
      </c>
      <c r="P360" s="6">
        <f>IFERROR(__xludf.DUMMYFUNCTION("IF(REGEXMATCH(A360, ""^00-""), 0, IF(AND(EQ(F360, """"), NE(G360, """")), 1, 0))"),0.0)</f>
        <v>0</v>
      </c>
      <c r="Q360" s="6">
        <f>IFERROR(__xludf.DUMMYFUNCTION("IF(REGEXMATCH(A360, ""^00-""), 0, IF(AND(NE(F360, """"), NE(G360, """")), 1, 0))"),1.0)</f>
        <v>1</v>
      </c>
      <c r="R360" s="6">
        <f t="shared" si="1"/>
        <v>1</v>
      </c>
    </row>
    <row r="361">
      <c r="A361" s="1" t="s">
        <v>54</v>
      </c>
      <c r="B361" s="1" t="s">
        <v>1142</v>
      </c>
      <c r="C361" s="1">
        <v>255.0</v>
      </c>
      <c r="D361" s="1">
        <v>270.0</v>
      </c>
      <c r="E361" s="1">
        <v>525.0</v>
      </c>
      <c r="F361" s="1" t="s">
        <v>704</v>
      </c>
      <c r="G361" s="1" t="s">
        <v>705</v>
      </c>
      <c r="H361" s="1" t="s">
        <v>250</v>
      </c>
      <c r="I361" s="1" t="s">
        <v>172</v>
      </c>
      <c r="J361" s="1" t="s">
        <v>702</v>
      </c>
      <c r="K361" s="1" t="s">
        <v>811</v>
      </c>
      <c r="L361" s="1"/>
      <c r="M361" s="1" t="s">
        <v>250</v>
      </c>
      <c r="N361" s="6">
        <f>IFERROR(__xludf.DUMMYFUNCTION("IF(REGEXMATCH(A361, ""^00-""), 0, IF(AND(EQ(F361, """"), EQ(G361, """")), 1, 0))"),0.0)</f>
        <v>0</v>
      </c>
      <c r="O361" s="6">
        <f>IFERROR(__xludf.DUMMYFUNCTION("IF(REGEXMATCH(A361, ""^00-""), 0, IF(AND(NE(F361, """"), EQ(G361, """")), 1, 0))"),0.0)</f>
        <v>0</v>
      </c>
      <c r="P361" s="6">
        <f>IFERROR(__xludf.DUMMYFUNCTION("IF(REGEXMATCH(A361, ""^00-""), 0, IF(AND(EQ(F361, """"), NE(G361, """")), 1, 0))"),0.0)</f>
        <v>0</v>
      </c>
      <c r="Q361" s="6">
        <f>IFERROR(__xludf.DUMMYFUNCTION("IF(REGEXMATCH(A361, ""^00-""), 0, IF(AND(NE(F361, """"), NE(G361, """")), 1, 0))"),1.0)</f>
        <v>1</v>
      </c>
      <c r="R361" s="6">
        <f t="shared" si="1"/>
        <v>1</v>
      </c>
    </row>
    <row r="362">
      <c r="A362" s="1" t="s">
        <v>54</v>
      </c>
      <c r="B362" s="1" t="s">
        <v>1143</v>
      </c>
      <c r="C362" s="1">
        <v>253.0</v>
      </c>
      <c r="D362" s="1">
        <v>272.0</v>
      </c>
      <c r="E362" s="1">
        <v>525.0</v>
      </c>
      <c r="F362" s="1" t="s">
        <v>707</v>
      </c>
      <c r="G362" s="1" t="s">
        <v>708</v>
      </c>
      <c r="H362" s="1" t="s">
        <v>254</v>
      </c>
      <c r="I362" s="1" t="s">
        <v>172</v>
      </c>
      <c r="J362" s="1" t="s">
        <v>702</v>
      </c>
      <c r="K362" s="1" t="s">
        <v>811</v>
      </c>
      <c r="L362" s="1"/>
      <c r="M362" s="1" t="s">
        <v>254</v>
      </c>
      <c r="N362" s="6">
        <f>IFERROR(__xludf.DUMMYFUNCTION("IF(REGEXMATCH(A362, ""^00-""), 0, IF(AND(EQ(F362, """"), EQ(G362, """")), 1, 0))"),0.0)</f>
        <v>0</v>
      </c>
      <c r="O362" s="6">
        <f>IFERROR(__xludf.DUMMYFUNCTION("IF(REGEXMATCH(A362, ""^00-""), 0, IF(AND(NE(F362, """"), EQ(G362, """")), 1, 0))"),0.0)</f>
        <v>0</v>
      </c>
      <c r="P362" s="6">
        <f>IFERROR(__xludf.DUMMYFUNCTION("IF(REGEXMATCH(A362, ""^00-""), 0, IF(AND(EQ(F362, """"), NE(G362, """")), 1, 0))"),0.0)</f>
        <v>0</v>
      </c>
      <c r="Q362" s="6">
        <f>IFERROR(__xludf.DUMMYFUNCTION("IF(REGEXMATCH(A362, ""^00-""), 0, IF(AND(NE(F362, """"), NE(G362, """")), 1, 0))"),1.0)</f>
        <v>1</v>
      </c>
      <c r="R362" s="6">
        <f t="shared" si="1"/>
        <v>1</v>
      </c>
    </row>
    <row r="363">
      <c r="A363" s="1" t="s">
        <v>54</v>
      </c>
      <c r="B363" s="1" t="s">
        <v>1144</v>
      </c>
      <c r="C363" s="1">
        <v>253.0</v>
      </c>
      <c r="D363" s="1">
        <v>272.0</v>
      </c>
      <c r="E363" s="1">
        <v>525.0</v>
      </c>
      <c r="F363" s="1" t="s">
        <v>710</v>
      </c>
      <c r="G363" s="1" t="s">
        <v>711</v>
      </c>
      <c r="H363" s="1" t="s">
        <v>235</v>
      </c>
      <c r="I363" s="1" t="s">
        <v>172</v>
      </c>
      <c r="J363" s="1" t="s">
        <v>702</v>
      </c>
      <c r="K363" s="1" t="s">
        <v>811</v>
      </c>
      <c r="L363" s="1"/>
      <c r="M363" s="1" t="s">
        <v>712</v>
      </c>
      <c r="N363" s="6">
        <f>IFERROR(__xludf.DUMMYFUNCTION("IF(REGEXMATCH(A363, ""^00-""), 0, IF(AND(EQ(F363, """"), EQ(G363, """")), 1, 0))"),0.0)</f>
        <v>0</v>
      </c>
      <c r="O363" s="6">
        <f>IFERROR(__xludf.DUMMYFUNCTION("IF(REGEXMATCH(A363, ""^00-""), 0, IF(AND(NE(F363, """"), EQ(G363, """")), 1, 0))"),0.0)</f>
        <v>0</v>
      </c>
      <c r="P363" s="6">
        <f>IFERROR(__xludf.DUMMYFUNCTION("IF(REGEXMATCH(A363, ""^00-""), 0, IF(AND(EQ(F363, """"), NE(G363, """")), 1, 0))"),0.0)</f>
        <v>0</v>
      </c>
      <c r="Q363" s="6">
        <f>IFERROR(__xludf.DUMMYFUNCTION("IF(REGEXMATCH(A363, ""^00-""), 0, IF(AND(NE(F363, """"), NE(G363, """")), 1, 0))"),1.0)</f>
        <v>1</v>
      </c>
      <c r="R363" s="6">
        <f t="shared" si="1"/>
        <v>1</v>
      </c>
    </row>
    <row r="364">
      <c r="A364" s="1" t="s">
        <v>54</v>
      </c>
      <c r="B364" s="1" t="s">
        <v>1145</v>
      </c>
      <c r="C364" s="1">
        <v>32.0</v>
      </c>
      <c r="D364" s="1">
        <v>493.0</v>
      </c>
      <c r="E364" s="1">
        <v>525.0</v>
      </c>
      <c r="F364" s="1" t="s">
        <v>714</v>
      </c>
      <c r="G364" s="1" t="s">
        <v>715</v>
      </c>
      <c r="H364" s="1" t="s">
        <v>171</v>
      </c>
      <c r="I364" s="1" t="s">
        <v>172</v>
      </c>
      <c r="J364" s="1" t="s">
        <v>702</v>
      </c>
      <c r="K364" s="1" t="s">
        <v>811</v>
      </c>
      <c r="L364" s="1"/>
      <c r="M364" s="1" t="s">
        <v>171</v>
      </c>
      <c r="N364" s="6">
        <f>IFERROR(__xludf.DUMMYFUNCTION("IF(REGEXMATCH(A364, ""^00-""), 0, IF(AND(EQ(F364, """"), EQ(G364, """")), 1, 0))"),0.0)</f>
        <v>0</v>
      </c>
      <c r="O364" s="6">
        <f>IFERROR(__xludf.DUMMYFUNCTION("IF(REGEXMATCH(A364, ""^00-""), 0, IF(AND(NE(F364, """"), EQ(G364, """")), 1, 0))"),0.0)</f>
        <v>0</v>
      </c>
      <c r="P364" s="6">
        <f>IFERROR(__xludf.DUMMYFUNCTION("IF(REGEXMATCH(A364, ""^00-""), 0, IF(AND(EQ(F364, """"), NE(G364, """")), 1, 0))"),0.0)</f>
        <v>0</v>
      </c>
      <c r="Q364" s="6">
        <f>IFERROR(__xludf.DUMMYFUNCTION("IF(REGEXMATCH(A364, ""^00-""), 0, IF(AND(NE(F364, """"), NE(G364, """")), 1, 0))"),1.0)</f>
        <v>1</v>
      </c>
      <c r="R364" s="6">
        <f t="shared" si="1"/>
        <v>1</v>
      </c>
    </row>
    <row r="365">
      <c r="A365" s="1" t="s">
        <v>54</v>
      </c>
      <c r="B365" s="1" t="s">
        <v>1146</v>
      </c>
      <c r="C365" s="1">
        <v>524.0</v>
      </c>
      <c r="D365" s="1">
        <v>1.0</v>
      </c>
      <c r="E365" s="1">
        <v>525.0</v>
      </c>
      <c r="F365" s="1" t="s">
        <v>717</v>
      </c>
      <c r="G365" s="1" t="s">
        <v>718</v>
      </c>
      <c r="H365" s="1" t="s">
        <v>190</v>
      </c>
      <c r="I365" s="1" t="s">
        <v>172</v>
      </c>
      <c r="J365" s="1" t="s">
        <v>702</v>
      </c>
      <c r="K365" s="1" t="s">
        <v>811</v>
      </c>
      <c r="L365" s="1"/>
      <c r="M365" s="1" t="s">
        <v>191</v>
      </c>
      <c r="N365" s="6">
        <f>IFERROR(__xludf.DUMMYFUNCTION("IF(REGEXMATCH(A365, ""^00-""), 0, IF(AND(EQ(F365, """"), EQ(G365, """")), 1, 0))"),0.0)</f>
        <v>0</v>
      </c>
      <c r="O365" s="6">
        <f>IFERROR(__xludf.DUMMYFUNCTION("IF(REGEXMATCH(A365, ""^00-""), 0, IF(AND(NE(F365, """"), EQ(G365, """")), 1, 0))"),0.0)</f>
        <v>0</v>
      </c>
      <c r="P365" s="6">
        <f>IFERROR(__xludf.DUMMYFUNCTION("IF(REGEXMATCH(A365, ""^00-""), 0, IF(AND(EQ(F365, """"), NE(G365, """")), 1, 0))"),0.0)</f>
        <v>0</v>
      </c>
      <c r="Q365" s="6">
        <f>IFERROR(__xludf.DUMMYFUNCTION("IF(REGEXMATCH(A365, ""^00-""), 0, IF(AND(NE(F365, """"), NE(G365, """")), 1, 0))"),1.0)</f>
        <v>1</v>
      </c>
      <c r="R365" s="6">
        <f t="shared" si="1"/>
        <v>1</v>
      </c>
    </row>
    <row r="366">
      <c r="A366" s="1" t="s">
        <v>54</v>
      </c>
      <c r="B366" s="1" t="s">
        <v>1147</v>
      </c>
      <c r="C366" s="1">
        <v>7.0</v>
      </c>
      <c r="D366" s="1">
        <v>518.0</v>
      </c>
      <c r="E366" s="1">
        <v>525.0</v>
      </c>
      <c r="F366" s="1" t="s">
        <v>720</v>
      </c>
      <c r="G366" s="1" t="s">
        <v>721</v>
      </c>
      <c r="H366" s="1" t="s">
        <v>250</v>
      </c>
      <c r="I366" s="1" t="s">
        <v>172</v>
      </c>
      <c r="J366" s="1" t="s">
        <v>702</v>
      </c>
      <c r="K366" s="1" t="s">
        <v>811</v>
      </c>
      <c r="L366" s="1"/>
      <c r="M366" s="1" t="s">
        <v>250</v>
      </c>
      <c r="N366" s="6">
        <f>IFERROR(__xludf.DUMMYFUNCTION("IF(REGEXMATCH(A366, ""^00-""), 0, IF(AND(EQ(F366, """"), EQ(G366, """")), 1, 0))"),0.0)</f>
        <v>0</v>
      </c>
      <c r="O366" s="6">
        <f>IFERROR(__xludf.DUMMYFUNCTION("IF(REGEXMATCH(A366, ""^00-""), 0, IF(AND(NE(F366, """"), EQ(G366, """")), 1, 0))"),0.0)</f>
        <v>0</v>
      </c>
      <c r="P366" s="6">
        <f>IFERROR(__xludf.DUMMYFUNCTION("IF(REGEXMATCH(A366, ""^00-""), 0, IF(AND(EQ(F366, """"), NE(G366, """")), 1, 0))"),0.0)</f>
        <v>0</v>
      </c>
      <c r="Q366" s="6">
        <f>IFERROR(__xludf.DUMMYFUNCTION("IF(REGEXMATCH(A366, ""^00-""), 0, IF(AND(NE(F366, """"), NE(G366, """")), 1, 0))"),1.0)</f>
        <v>1</v>
      </c>
      <c r="R366" s="6">
        <f t="shared" si="1"/>
        <v>1</v>
      </c>
    </row>
    <row r="367">
      <c r="A367" s="1" t="s">
        <v>54</v>
      </c>
      <c r="B367" s="1" t="s">
        <v>1148</v>
      </c>
      <c r="C367" s="1">
        <v>7.0</v>
      </c>
      <c r="D367" s="1">
        <v>518.0</v>
      </c>
      <c r="E367" s="1">
        <v>525.0</v>
      </c>
      <c r="F367" s="1" t="s">
        <v>723</v>
      </c>
      <c r="G367" s="1" t="s">
        <v>724</v>
      </c>
      <c r="H367" s="1" t="s">
        <v>254</v>
      </c>
      <c r="I367" s="1" t="s">
        <v>172</v>
      </c>
      <c r="J367" s="1" t="s">
        <v>702</v>
      </c>
      <c r="K367" s="1" t="s">
        <v>811</v>
      </c>
      <c r="L367" s="1"/>
      <c r="M367" s="1" t="s">
        <v>254</v>
      </c>
      <c r="N367" s="6">
        <f>IFERROR(__xludf.DUMMYFUNCTION("IF(REGEXMATCH(A367, ""^00-""), 0, IF(AND(EQ(F367, """"), EQ(G367, """")), 1, 0))"),0.0)</f>
        <v>0</v>
      </c>
      <c r="O367" s="6">
        <f>IFERROR(__xludf.DUMMYFUNCTION("IF(REGEXMATCH(A367, ""^00-""), 0, IF(AND(NE(F367, """"), EQ(G367, """")), 1, 0))"),0.0)</f>
        <v>0</v>
      </c>
      <c r="P367" s="6">
        <f>IFERROR(__xludf.DUMMYFUNCTION("IF(REGEXMATCH(A367, ""^00-""), 0, IF(AND(EQ(F367, """"), NE(G367, """")), 1, 0))"),0.0)</f>
        <v>0</v>
      </c>
      <c r="Q367" s="6">
        <f>IFERROR(__xludf.DUMMYFUNCTION("IF(REGEXMATCH(A367, ""^00-""), 0, IF(AND(NE(F367, """"), NE(G367, """")), 1, 0))"),1.0)</f>
        <v>1</v>
      </c>
      <c r="R367" s="6">
        <f t="shared" si="1"/>
        <v>1</v>
      </c>
    </row>
    <row r="368">
      <c r="A368" s="1" t="s">
        <v>54</v>
      </c>
      <c r="B368" s="1" t="s">
        <v>1149</v>
      </c>
      <c r="C368" s="1">
        <v>7.0</v>
      </c>
      <c r="D368" s="1">
        <v>518.0</v>
      </c>
      <c r="E368" s="1">
        <v>525.0</v>
      </c>
      <c r="F368" s="1" t="s">
        <v>726</v>
      </c>
      <c r="G368" s="1" t="s">
        <v>727</v>
      </c>
      <c r="H368" s="1" t="s">
        <v>235</v>
      </c>
      <c r="I368" s="1" t="s">
        <v>172</v>
      </c>
      <c r="J368" s="1" t="s">
        <v>702</v>
      </c>
      <c r="K368" s="1" t="s">
        <v>811</v>
      </c>
      <c r="L368" s="1"/>
      <c r="M368" s="1" t="s">
        <v>712</v>
      </c>
      <c r="N368" s="6">
        <f>IFERROR(__xludf.DUMMYFUNCTION("IF(REGEXMATCH(A368, ""^00-""), 0, IF(AND(EQ(F368, """"), EQ(G368, """")), 1, 0))"),0.0)</f>
        <v>0</v>
      </c>
      <c r="O368" s="6">
        <f>IFERROR(__xludf.DUMMYFUNCTION("IF(REGEXMATCH(A368, ""^00-""), 0, IF(AND(NE(F368, """"), EQ(G368, """")), 1, 0))"),0.0)</f>
        <v>0</v>
      </c>
      <c r="P368" s="6">
        <f>IFERROR(__xludf.DUMMYFUNCTION("IF(REGEXMATCH(A368, ""^00-""), 0, IF(AND(EQ(F368, """"), NE(G368, """")), 1, 0))"),0.0)</f>
        <v>0</v>
      </c>
      <c r="Q368" s="6">
        <f>IFERROR(__xludf.DUMMYFUNCTION("IF(REGEXMATCH(A368, ""^00-""), 0, IF(AND(NE(F368, """"), NE(G368, """")), 1, 0))"),1.0)</f>
        <v>1</v>
      </c>
      <c r="R368" s="6">
        <f t="shared" si="1"/>
        <v>1</v>
      </c>
    </row>
    <row r="369">
      <c r="A369" s="1" t="s">
        <v>54</v>
      </c>
      <c r="B369" s="1" t="s">
        <v>1150</v>
      </c>
      <c r="C369" s="1">
        <v>1.0</v>
      </c>
      <c r="D369" s="1">
        <v>524.0</v>
      </c>
      <c r="E369" s="1">
        <v>525.0</v>
      </c>
      <c r="F369" s="1" t="s">
        <v>729</v>
      </c>
      <c r="G369" s="1" t="s">
        <v>730</v>
      </c>
      <c r="H369" s="1" t="s">
        <v>171</v>
      </c>
      <c r="I369" s="1" t="s">
        <v>172</v>
      </c>
      <c r="J369" s="1" t="s">
        <v>702</v>
      </c>
      <c r="K369" s="1" t="s">
        <v>811</v>
      </c>
      <c r="L369" s="1"/>
      <c r="M369" s="1" t="s">
        <v>171</v>
      </c>
      <c r="N369" s="6">
        <f>IFERROR(__xludf.DUMMYFUNCTION("IF(REGEXMATCH(A369, ""^00-""), 0, IF(AND(EQ(F369, """"), EQ(G369, """")), 1, 0))"),0.0)</f>
        <v>0</v>
      </c>
      <c r="O369" s="6">
        <f>IFERROR(__xludf.DUMMYFUNCTION("IF(REGEXMATCH(A369, ""^00-""), 0, IF(AND(NE(F369, """"), EQ(G369, """")), 1, 0))"),0.0)</f>
        <v>0</v>
      </c>
      <c r="P369" s="6">
        <f>IFERROR(__xludf.DUMMYFUNCTION("IF(REGEXMATCH(A369, ""^00-""), 0, IF(AND(EQ(F369, """"), NE(G369, """")), 1, 0))"),0.0)</f>
        <v>0</v>
      </c>
      <c r="Q369" s="6">
        <f>IFERROR(__xludf.DUMMYFUNCTION("IF(REGEXMATCH(A369, ""^00-""), 0, IF(AND(NE(F369, """"), NE(G369, """")), 1, 0))"),1.0)</f>
        <v>1</v>
      </c>
      <c r="R369" s="6">
        <f t="shared" si="1"/>
        <v>1</v>
      </c>
    </row>
    <row r="370">
      <c r="A370" s="1" t="s">
        <v>54</v>
      </c>
      <c r="B370" s="1" t="s">
        <v>1151</v>
      </c>
      <c r="C370" s="1">
        <v>525.0</v>
      </c>
      <c r="D370" s="1">
        <v>0.0</v>
      </c>
      <c r="E370" s="1">
        <v>525.0</v>
      </c>
      <c r="F370" s="1" t="s">
        <v>732</v>
      </c>
      <c r="G370" s="1" t="s">
        <v>733</v>
      </c>
      <c r="H370" s="1" t="s">
        <v>190</v>
      </c>
      <c r="I370" s="1" t="s">
        <v>172</v>
      </c>
      <c r="J370" s="1" t="s">
        <v>702</v>
      </c>
      <c r="K370" s="1" t="s">
        <v>811</v>
      </c>
      <c r="L370" s="1"/>
      <c r="M370" s="1" t="s">
        <v>191</v>
      </c>
      <c r="N370" s="6">
        <f>IFERROR(__xludf.DUMMYFUNCTION("IF(REGEXMATCH(A370, ""^00-""), 0, IF(AND(EQ(F370, """"), EQ(G370, """")), 1, 0))"),0.0)</f>
        <v>0</v>
      </c>
      <c r="O370" s="6">
        <f>IFERROR(__xludf.DUMMYFUNCTION("IF(REGEXMATCH(A370, ""^00-""), 0, IF(AND(NE(F370, """"), EQ(G370, """")), 1, 0))"),0.0)</f>
        <v>0</v>
      </c>
      <c r="P370" s="6">
        <f>IFERROR(__xludf.DUMMYFUNCTION("IF(REGEXMATCH(A370, ""^00-""), 0, IF(AND(EQ(F370, """"), NE(G370, """")), 1, 0))"),0.0)</f>
        <v>0</v>
      </c>
      <c r="Q370" s="6">
        <f>IFERROR(__xludf.DUMMYFUNCTION("IF(REGEXMATCH(A370, ""^00-""), 0, IF(AND(NE(F370, """"), NE(G370, """")), 1, 0))"),1.0)</f>
        <v>1</v>
      </c>
      <c r="R370" s="6">
        <f t="shared" si="1"/>
        <v>1</v>
      </c>
    </row>
    <row r="371">
      <c r="A371" s="1" t="s">
        <v>54</v>
      </c>
      <c r="B371" s="1" t="s">
        <v>1152</v>
      </c>
      <c r="C371" s="1">
        <v>22.0</v>
      </c>
      <c r="D371" s="1">
        <v>503.0</v>
      </c>
      <c r="E371" s="1">
        <v>525.0</v>
      </c>
      <c r="F371" s="7" t="s">
        <v>735</v>
      </c>
      <c r="G371" s="1" t="s">
        <v>736</v>
      </c>
      <c r="H371" s="1" t="s">
        <v>250</v>
      </c>
      <c r="I371" s="1" t="s">
        <v>172</v>
      </c>
      <c r="J371" s="1" t="s">
        <v>702</v>
      </c>
      <c r="K371" s="1" t="s">
        <v>811</v>
      </c>
      <c r="L371" s="1"/>
      <c r="M371" s="1" t="s">
        <v>250</v>
      </c>
      <c r="N371" s="6">
        <f>IFERROR(__xludf.DUMMYFUNCTION("IF(REGEXMATCH(A371, ""^00-""), 0, IF(AND(EQ(F371, """"), EQ(G371, """")), 1, 0))"),0.0)</f>
        <v>0</v>
      </c>
      <c r="O371" s="6">
        <f>IFERROR(__xludf.DUMMYFUNCTION("IF(REGEXMATCH(A371, ""^00-""), 0, IF(AND(NE(F371, """"), EQ(G371, """")), 1, 0))"),0.0)</f>
        <v>0</v>
      </c>
      <c r="P371" s="6">
        <f>IFERROR(__xludf.DUMMYFUNCTION("IF(REGEXMATCH(A371, ""^00-""), 0, IF(AND(EQ(F371, """"), NE(G371, """")), 1, 0))"),0.0)</f>
        <v>0</v>
      </c>
      <c r="Q371" s="6">
        <f>IFERROR(__xludf.DUMMYFUNCTION("IF(REGEXMATCH(A371, ""^00-""), 0, IF(AND(NE(F371, """"), NE(G371, """")), 1, 0))"),1.0)</f>
        <v>1</v>
      </c>
      <c r="R371" s="6">
        <f t="shared" si="1"/>
        <v>1</v>
      </c>
    </row>
    <row r="372">
      <c r="A372" s="1" t="s">
        <v>54</v>
      </c>
      <c r="B372" s="1" t="s">
        <v>1153</v>
      </c>
      <c r="C372" s="1">
        <v>21.0</v>
      </c>
      <c r="D372" s="1">
        <v>504.0</v>
      </c>
      <c r="E372" s="1">
        <v>525.0</v>
      </c>
      <c r="F372" s="1" t="s">
        <v>738</v>
      </c>
      <c r="G372" s="1" t="s">
        <v>739</v>
      </c>
      <c r="H372" s="1" t="s">
        <v>254</v>
      </c>
      <c r="I372" s="1" t="s">
        <v>172</v>
      </c>
      <c r="J372" s="1" t="s">
        <v>702</v>
      </c>
      <c r="K372" s="1" t="s">
        <v>811</v>
      </c>
      <c r="L372" s="1"/>
      <c r="M372" s="1" t="s">
        <v>254</v>
      </c>
      <c r="N372" s="6">
        <f>IFERROR(__xludf.DUMMYFUNCTION("IF(REGEXMATCH(A372, ""^00-""), 0, IF(AND(EQ(F372, """"), EQ(G372, """")), 1, 0))"),0.0)</f>
        <v>0</v>
      </c>
      <c r="O372" s="6">
        <f>IFERROR(__xludf.DUMMYFUNCTION("IF(REGEXMATCH(A372, ""^00-""), 0, IF(AND(NE(F372, """"), EQ(G372, """")), 1, 0))"),0.0)</f>
        <v>0</v>
      </c>
      <c r="P372" s="6">
        <f>IFERROR(__xludf.DUMMYFUNCTION("IF(REGEXMATCH(A372, ""^00-""), 0, IF(AND(EQ(F372, """"), NE(G372, """")), 1, 0))"),0.0)</f>
        <v>0</v>
      </c>
      <c r="Q372" s="6">
        <f>IFERROR(__xludf.DUMMYFUNCTION("IF(REGEXMATCH(A372, ""^00-""), 0, IF(AND(NE(F372, """"), NE(G372, """")), 1, 0))"),1.0)</f>
        <v>1</v>
      </c>
      <c r="R372" s="6">
        <f t="shared" si="1"/>
        <v>1</v>
      </c>
    </row>
    <row r="373">
      <c r="A373" s="1" t="s">
        <v>54</v>
      </c>
      <c r="B373" s="1" t="s">
        <v>1154</v>
      </c>
      <c r="C373" s="1">
        <v>22.0</v>
      </c>
      <c r="D373" s="1">
        <v>503.0</v>
      </c>
      <c r="E373" s="1">
        <v>525.0</v>
      </c>
      <c r="F373" s="1" t="s">
        <v>741</v>
      </c>
      <c r="G373" s="1" t="s">
        <v>742</v>
      </c>
      <c r="H373" s="1" t="s">
        <v>235</v>
      </c>
      <c r="I373" s="1" t="s">
        <v>172</v>
      </c>
      <c r="J373" s="1" t="s">
        <v>702</v>
      </c>
      <c r="K373" s="1" t="s">
        <v>811</v>
      </c>
      <c r="L373" s="1"/>
      <c r="M373" s="1" t="s">
        <v>712</v>
      </c>
      <c r="N373" s="6">
        <f>IFERROR(__xludf.DUMMYFUNCTION("IF(REGEXMATCH(A373, ""^00-""), 0, IF(AND(EQ(F373, """"), EQ(G373, """")), 1, 0))"),0.0)</f>
        <v>0</v>
      </c>
      <c r="O373" s="6">
        <f>IFERROR(__xludf.DUMMYFUNCTION("IF(REGEXMATCH(A373, ""^00-""), 0, IF(AND(NE(F373, """"), EQ(G373, """")), 1, 0))"),0.0)</f>
        <v>0</v>
      </c>
      <c r="P373" s="6">
        <f>IFERROR(__xludf.DUMMYFUNCTION("IF(REGEXMATCH(A373, ""^00-""), 0, IF(AND(EQ(F373, """"), NE(G373, """")), 1, 0))"),0.0)</f>
        <v>0</v>
      </c>
      <c r="Q373" s="6">
        <f>IFERROR(__xludf.DUMMYFUNCTION("IF(REGEXMATCH(A373, ""^00-""), 0, IF(AND(NE(F373, """"), NE(G373, """")), 1, 0))"),1.0)</f>
        <v>1</v>
      </c>
      <c r="R373" s="6">
        <f t="shared" si="1"/>
        <v>1</v>
      </c>
    </row>
    <row r="374">
      <c r="A374" s="1" t="s">
        <v>54</v>
      </c>
      <c r="B374" s="1" t="s">
        <v>1155</v>
      </c>
      <c r="C374" s="1">
        <v>10.0</v>
      </c>
      <c r="D374" s="1">
        <v>515.0</v>
      </c>
      <c r="E374" s="1">
        <v>525.0</v>
      </c>
      <c r="F374" s="1" t="s">
        <v>744</v>
      </c>
      <c r="G374" s="1" t="s">
        <v>745</v>
      </c>
      <c r="H374" s="1" t="s">
        <v>171</v>
      </c>
      <c r="I374" s="1" t="s">
        <v>172</v>
      </c>
      <c r="J374" s="1" t="s">
        <v>702</v>
      </c>
      <c r="K374" s="1" t="s">
        <v>811</v>
      </c>
      <c r="L374" s="1"/>
      <c r="M374" s="1" t="s">
        <v>171</v>
      </c>
      <c r="N374" s="6">
        <f>IFERROR(__xludf.DUMMYFUNCTION("IF(REGEXMATCH(A374, ""^00-""), 0, IF(AND(EQ(F374, """"), EQ(G374, """")), 1, 0))"),0.0)</f>
        <v>0</v>
      </c>
      <c r="O374" s="6">
        <f>IFERROR(__xludf.DUMMYFUNCTION("IF(REGEXMATCH(A374, ""^00-""), 0, IF(AND(NE(F374, """"), EQ(G374, """")), 1, 0))"),0.0)</f>
        <v>0</v>
      </c>
      <c r="P374" s="6">
        <f>IFERROR(__xludf.DUMMYFUNCTION("IF(REGEXMATCH(A374, ""^00-""), 0, IF(AND(EQ(F374, """"), NE(G374, """")), 1, 0))"),0.0)</f>
        <v>0</v>
      </c>
      <c r="Q374" s="6">
        <f>IFERROR(__xludf.DUMMYFUNCTION("IF(REGEXMATCH(A374, ""^00-""), 0, IF(AND(NE(F374, """"), NE(G374, """")), 1, 0))"),1.0)</f>
        <v>1</v>
      </c>
      <c r="R374" s="6">
        <f t="shared" si="1"/>
        <v>1</v>
      </c>
    </row>
    <row r="375">
      <c r="A375" s="1" t="s">
        <v>56</v>
      </c>
      <c r="B375" s="1" t="s">
        <v>1156</v>
      </c>
      <c r="C375" s="1">
        <v>445.0</v>
      </c>
      <c r="D375" s="1">
        <v>0.0</v>
      </c>
      <c r="E375" s="1">
        <v>445.0</v>
      </c>
      <c r="F375" s="1" t="s">
        <v>1157</v>
      </c>
      <c r="G375" s="1"/>
      <c r="H375" s="1" t="s">
        <v>182</v>
      </c>
      <c r="I375" s="1" t="s">
        <v>172</v>
      </c>
      <c r="J375" s="1" t="s">
        <v>1158</v>
      </c>
      <c r="K375" s="1" t="s">
        <v>811</v>
      </c>
      <c r="L375" s="1"/>
      <c r="M375" s="1" t="s">
        <v>185</v>
      </c>
      <c r="N375" s="6">
        <f>IFERROR(__xludf.DUMMYFUNCTION("IF(REGEXMATCH(A375, ""^00-""), 0, IF(AND(EQ(F375, """"), EQ(G375, """")), 1, 0))"),0.0)</f>
        <v>0</v>
      </c>
      <c r="O375" s="6">
        <f>IFERROR(__xludf.DUMMYFUNCTION("IF(REGEXMATCH(A375, ""^00-""), 0, IF(AND(NE(F375, """"), EQ(G375, """")), 1, 0))"),1.0)</f>
        <v>1</v>
      </c>
      <c r="P375" s="6">
        <f>IFERROR(__xludf.DUMMYFUNCTION("IF(REGEXMATCH(A375, ""^00-""), 0, IF(AND(EQ(F375, """"), NE(G375, """")), 1, 0))"),0.0)</f>
        <v>0</v>
      </c>
      <c r="Q375" s="6">
        <f>IFERROR(__xludf.DUMMYFUNCTION("IF(REGEXMATCH(A375, ""^00-""), 0, IF(AND(NE(F375, """"), NE(G375, """")), 1, 0))"),0.0)</f>
        <v>0</v>
      </c>
      <c r="R375" s="6">
        <f t="shared" si="1"/>
        <v>1</v>
      </c>
    </row>
    <row r="376">
      <c r="A376" s="1" t="s">
        <v>56</v>
      </c>
      <c r="B376" s="1" t="s">
        <v>1159</v>
      </c>
      <c r="C376" s="1">
        <v>445.0</v>
      </c>
      <c r="D376" s="1">
        <v>0.0</v>
      </c>
      <c r="E376" s="1">
        <v>445.0</v>
      </c>
      <c r="F376" s="1" t="s">
        <v>1160</v>
      </c>
      <c r="G376" s="1"/>
      <c r="H376" s="1" t="s">
        <v>182</v>
      </c>
      <c r="I376" s="1" t="s">
        <v>172</v>
      </c>
      <c r="J376" s="1" t="s">
        <v>1158</v>
      </c>
      <c r="K376" s="1" t="s">
        <v>811</v>
      </c>
      <c r="L376" s="1"/>
      <c r="M376" s="1" t="s">
        <v>185</v>
      </c>
      <c r="N376" s="6">
        <f>IFERROR(__xludf.DUMMYFUNCTION("IF(REGEXMATCH(A376, ""^00-""), 0, IF(AND(EQ(F376, """"), EQ(G376, """")), 1, 0))"),0.0)</f>
        <v>0</v>
      </c>
      <c r="O376" s="6">
        <f>IFERROR(__xludf.DUMMYFUNCTION("IF(REGEXMATCH(A376, ""^00-""), 0, IF(AND(NE(F376, """"), EQ(G376, """")), 1, 0))"),1.0)</f>
        <v>1</v>
      </c>
      <c r="P376" s="6">
        <f>IFERROR(__xludf.DUMMYFUNCTION("IF(REGEXMATCH(A376, ""^00-""), 0, IF(AND(EQ(F376, """"), NE(G376, """")), 1, 0))"),0.0)</f>
        <v>0</v>
      </c>
      <c r="Q376" s="6">
        <f>IFERROR(__xludf.DUMMYFUNCTION("IF(REGEXMATCH(A376, ""^00-""), 0, IF(AND(NE(F376, """"), NE(G376, """")), 1, 0))"),0.0)</f>
        <v>0</v>
      </c>
      <c r="R376" s="6">
        <f t="shared" si="1"/>
        <v>1</v>
      </c>
    </row>
    <row r="377">
      <c r="A377" s="1" t="s">
        <v>56</v>
      </c>
      <c r="B377" s="1" t="s">
        <v>1161</v>
      </c>
      <c r="C377" s="1">
        <v>407.0</v>
      </c>
      <c r="D377" s="1">
        <v>38.0</v>
      </c>
      <c r="E377" s="1">
        <v>445.0</v>
      </c>
      <c r="F377" s="1" t="s">
        <v>1162</v>
      </c>
      <c r="G377" s="1"/>
      <c r="H377" s="1" t="s">
        <v>250</v>
      </c>
      <c r="I377" s="1" t="s">
        <v>172</v>
      </c>
      <c r="J377" s="1" t="s">
        <v>1158</v>
      </c>
      <c r="K377" s="1" t="s">
        <v>811</v>
      </c>
      <c r="L377" s="1"/>
      <c r="M377" s="1" t="s">
        <v>250</v>
      </c>
      <c r="N377" s="6">
        <f>IFERROR(__xludf.DUMMYFUNCTION("IF(REGEXMATCH(A377, ""^00-""), 0, IF(AND(EQ(F377, """"), EQ(G377, """")), 1, 0))"),0.0)</f>
        <v>0</v>
      </c>
      <c r="O377" s="6">
        <f>IFERROR(__xludf.DUMMYFUNCTION("IF(REGEXMATCH(A377, ""^00-""), 0, IF(AND(NE(F377, """"), EQ(G377, """")), 1, 0))"),1.0)</f>
        <v>1</v>
      </c>
      <c r="P377" s="6">
        <f>IFERROR(__xludf.DUMMYFUNCTION("IF(REGEXMATCH(A377, ""^00-""), 0, IF(AND(EQ(F377, """"), NE(G377, """")), 1, 0))"),0.0)</f>
        <v>0</v>
      </c>
      <c r="Q377" s="6">
        <f>IFERROR(__xludf.DUMMYFUNCTION("IF(REGEXMATCH(A377, ""^00-""), 0, IF(AND(NE(F377, """"), NE(G377, """")), 1, 0))"),0.0)</f>
        <v>0</v>
      </c>
      <c r="R377" s="6">
        <f t="shared" si="1"/>
        <v>1</v>
      </c>
    </row>
    <row r="378">
      <c r="A378" s="1" t="s">
        <v>56</v>
      </c>
      <c r="B378" s="1" t="s">
        <v>1163</v>
      </c>
      <c r="C378" s="1">
        <v>396.0</v>
      </c>
      <c r="D378" s="1">
        <v>49.0</v>
      </c>
      <c r="E378" s="1">
        <v>445.0</v>
      </c>
      <c r="F378" s="1" t="s">
        <v>1164</v>
      </c>
      <c r="G378" s="1"/>
      <c r="H378" s="1" t="s">
        <v>254</v>
      </c>
      <c r="I378" s="1" t="s">
        <v>172</v>
      </c>
      <c r="J378" s="1" t="s">
        <v>1158</v>
      </c>
      <c r="K378" s="1" t="s">
        <v>811</v>
      </c>
      <c r="L378" s="1"/>
      <c r="M378" s="1" t="s">
        <v>254</v>
      </c>
      <c r="N378" s="6">
        <f>IFERROR(__xludf.DUMMYFUNCTION("IF(REGEXMATCH(A378, ""^00-""), 0, IF(AND(EQ(F378, """"), EQ(G378, """")), 1, 0))"),0.0)</f>
        <v>0</v>
      </c>
      <c r="O378" s="6">
        <f>IFERROR(__xludf.DUMMYFUNCTION("IF(REGEXMATCH(A378, ""^00-""), 0, IF(AND(NE(F378, """"), EQ(G378, """")), 1, 0))"),1.0)</f>
        <v>1</v>
      </c>
      <c r="P378" s="6">
        <f>IFERROR(__xludf.DUMMYFUNCTION("IF(REGEXMATCH(A378, ""^00-""), 0, IF(AND(EQ(F378, """"), NE(G378, """")), 1, 0))"),0.0)</f>
        <v>0</v>
      </c>
      <c r="Q378" s="6">
        <f>IFERROR(__xludf.DUMMYFUNCTION("IF(REGEXMATCH(A378, ""^00-""), 0, IF(AND(NE(F378, """"), NE(G378, """")), 1, 0))"),0.0)</f>
        <v>0</v>
      </c>
      <c r="R378" s="6">
        <f t="shared" si="1"/>
        <v>1</v>
      </c>
    </row>
    <row r="379">
      <c r="A379" s="1" t="s">
        <v>56</v>
      </c>
      <c r="B379" s="1" t="s">
        <v>1165</v>
      </c>
      <c r="C379" s="1">
        <v>265.0</v>
      </c>
      <c r="D379" s="1">
        <v>180.0</v>
      </c>
      <c r="E379" s="1">
        <v>445.0</v>
      </c>
      <c r="F379" s="1" t="s">
        <v>1166</v>
      </c>
      <c r="G379" s="1"/>
      <c r="H379" s="1" t="s">
        <v>182</v>
      </c>
      <c r="I379" s="1" t="s">
        <v>172</v>
      </c>
      <c r="J379" s="1" t="s">
        <v>1158</v>
      </c>
      <c r="K379" s="1" t="s">
        <v>811</v>
      </c>
      <c r="L379" s="1"/>
      <c r="M379" s="1" t="s">
        <v>257</v>
      </c>
      <c r="N379" s="6">
        <f>IFERROR(__xludf.DUMMYFUNCTION("IF(REGEXMATCH(A379, ""^00-""), 0, IF(AND(EQ(F379, """"), EQ(G379, """")), 1, 0))"),0.0)</f>
        <v>0</v>
      </c>
      <c r="O379" s="6">
        <f>IFERROR(__xludf.DUMMYFUNCTION("IF(REGEXMATCH(A379, ""^00-""), 0, IF(AND(NE(F379, """"), EQ(G379, """")), 1, 0))"),1.0)</f>
        <v>1</v>
      </c>
      <c r="P379" s="6">
        <f>IFERROR(__xludf.DUMMYFUNCTION("IF(REGEXMATCH(A379, ""^00-""), 0, IF(AND(EQ(F379, """"), NE(G379, """")), 1, 0))"),0.0)</f>
        <v>0</v>
      </c>
      <c r="Q379" s="6">
        <f>IFERROR(__xludf.DUMMYFUNCTION("IF(REGEXMATCH(A379, ""^00-""), 0, IF(AND(NE(F379, """"), NE(G379, """")), 1, 0))"),0.0)</f>
        <v>0</v>
      </c>
      <c r="R379" s="6">
        <f t="shared" si="1"/>
        <v>1</v>
      </c>
    </row>
    <row r="380">
      <c r="A380" s="1" t="s">
        <v>56</v>
      </c>
      <c r="B380" s="1" t="s">
        <v>1167</v>
      </c>
      <c r="C380" s="1">
        <v>259.0</v>
      </c>
      <c r="D380" s="1">
        <v>186.0</v>
      </c>
      <c r="E380" s="1">
        <v>445.0</v>
      </c>
      <c r="F380" s="1" t="s">
        <v>1168</v>
      </c>
      <c r="G380" s="1"/>
      <c r="H380" s="1" t="s">
        <v>182</v>
      </c>
      <c r="I380" s="1" t="s">
        <v>172</v>
      </c>
      <c r="J380" s="1" t="s">
        <v>1158</v>
      </c>
      <c r="K380" s="1" t="s">
        <v>811</v>
      </c>
      <c r="L380" s="1"/>
      <c r="M380" s="1" t="s">
        <v>257</v>
      </c>
      <c r="N380" s="6">
        <f>IFERROR(__xludf.DUMMYFUNCTION("IF(REGEXMATCH(A380, ""^00-""), 0, IF(AND(EQ(F380, """"), EQ(G380, """")), 1, 0))"),0.0)</f>
        <v>0</v>
      </c>
      <c r="O380" s="6">
        <f>IFERROR(__xludf.DUMMYFUNCTION("IF(REGEXMATCH(A380, ""^00-""), 0, IF(AND(NE(F380, """"), EQ(G380, """")), 1, 0))"),1.0)</f>
        <v>1</v>
      </c>
      <c r="P380" s="6">
        <f>IFERROR(__xludf.DUMMYFUNCTION("IF(REGEXMATCH(A380, ""^00-""), 0, IF(AND(EQ(F380, """"), NE(G380, """")), 1, 0))"),0.0)</f>
        <v>0</v>
      </c>
      <c r="Q380" s="6">
        <f>IFERROR(__xludf.DUMMYFUNCTION("IF(REGEXMATCH(A380, ""^00-""), 0, IF(AND(NE(F380, """"), NE(G380, """")), 1, 0))"),0.0)</f>
        <v>0</v>
      </c>
      <c r="R380" s="6">
        <f t="shared" si="1"/>
        <v>1</v>
      </c>
    </row>
    <row r="381">
      <c r="A381" s="1" t="s">
        <v>56</v>
      </c>
      <c r="B381" s="1" t="s">
        <v>1169</v>
      </c>
      <c r="C381" s="1">
        <v>299.0</v>
      </c>
      <c r="D381" s="1">
        <v>146.0</v>
      </c>
      <c r="E381" s="1">
        <v>445.0</v>
      </c>
      <c r="F381" s="1" t="s">
        <v>1170</v>
      </c>
      <c r="G381" s="1"/>
      <c r="H381" s="1" t="s">
        <v>182</v>
      </c>
      <c r="I381" s="1" t="s">
        <v>172</v>
      </c>
      <c r="J381" s="1" t="s">
        <v>1158</v>
      </c>
      <c r="K381" s="1" t="s">
        <v>811</v>
      </c>
      <c r="L381" s="1"/>
      <c r="M381" s="1" t="s">
        <v>257</v>
      </c>
      <c r="N381" s="6">
        <f>IFERROR(__xludf.DUMMYFUNCTION("IF(REGEXMATCH(A381, ""^00-""), 0, IF(AND(EQ(F381, """"), EQ(G381, """")), 1, 0))"),0.0)</f>
        <v>0</v>
      </c>
      <c r="O381" s="6">
        <f>IFERROR(__xludf.DUMMYFUNCTION("IF(REGEXMATCH(A381, ""^00-""), 0, IF(AND(NE(F381, """"), EQ(G381, """")), 1, 0))"),1.0)</f>
        <v>1</v>
      </c>
      <c r="P381" s="6">
        <f>IFERROR(__xludf.DUMMYFUNCTION("IF(REGEXMATCH(A381, ""^00-""), 0, IF(AND(EQ(F381, """"), NE(G381, """")), 1, 0))"),0.0)</f>
        <v>0</v>
      </c>
      <c r="Q381" s="6">
        <f>IFERROR(__xludf.DUMMYFUNCTION("IF(REGEXMATCH(A381, ""^00-""), 0, IF(AND(NE(F381, """"), NE(G381, """")), 1, 0))"),0.0)</f>
        <v>0</v>
      </c>
      <c r="R381" s="6">
        <f t="shared" si="1"/>
        <v>1</v>
      </c>
    </row>
    <row r="382">
      <c r="A382" s="1" t="s">
        <v>56</v>
      </c>
      <c r="B382" s="1" t="s">
        <v>1171</v>
      </c>
      <c r="C382" s="1">
        <v>225.0</v>
      </c>
      <c r="D382" s="1">
        <v>220.0</v>
      </c>
      <c r="E382" s="1">
        <v>445.0</v>
      </c>
      <c r="F382" s="1" t="s">
        <v>1172</v>
      </c>
      <c r="G382" s="1"/>
      <c r="H382" s="1" t="s">
        <v>182</v>
      </c>
      <c r="I382" s="1" t="s">
        <v>172</v>
      </c>
      <c r="J382" s="1" t="s">
        <v>1158</v>
      </c>
      <c r="K382" s="1" t="s">
        <v>811</v>
      </c>
      <c r="L382" s="1"/>
      <c r="M382" s="1" t="s">
        <v>257</v>
      </c>
      <c r="N382" s="6">
        <f>IFERROR(__xludf.DUMMYFUNCTION("IF(REGEXMATCH(A382, ""^00-""), 0, IF(AND(EQ(F382, """"), EQ(G382, """")), 1, 0))"),0.0)</f>
        <v>0</v>
      </c>
      <c r="O382" s="6">
        <f>IFERROR(__xludf.DUMMYFUNCTION("IF(REGEXMATCH(A382, ""^00-""), 0, IF(AND(NE(F382, """"), EQ(G382, """")), 1, 0))"),1.0)</f>
        <v>1</v>
      </c>
      <c r="P382" s="6">
        <f>IFERROR(__xludf.DUMMYFUNCTION("IF(REGEXMATCH(A382, ""^00-""), 0, IF(AND(EQ(F382, """"), NE(G382, """")), 1, 0))"),0.0)</f>
        <v>0</v>
      </c>
      <c r="Q382" s="6">
        <f>IFERROR(__xludf.DUMMYFUNCTION("IF(REGEXMATCH(A382, ""^00-""), 0, IF(AND(NE(F382, """"), NE(G382, """")), 1, 0))"),0.0)</f>
        <v>0</v>
      </c>
      <c r="R382" s="6">
        <f t="shared" si="1"/>
        <v>1</v>
      </c>
    </row>
    <row r="383">
      <c r="A383" s="1" t="s">
        <v>56</v>
      </c>
      <c r="B383" s="1" t="s">
        <v>1173</v>
      </c>
      <c r="C383" s="1">
        <v>334.0</v>
      </c>
      <c r="D383" s="1">
        <v>111.0</v>
      </c>
      <c r="E383" s="1">
        <v>445.0</v>
      </c>
      <c r="F383" s="1" t="s">
        <v>1174</v>
      </c>
      <c r="G383" s="1"/>
      <c r="H383" s="1" t="s">
        <v>235</v>
      </c>
      <c r="I383" s="1" t="s">
        <v>172</v>
      </c>
      <c r="J383" s="1" t="s">
        <v>1158</v>
      </c>
      <c r="K383" s="1" t="s">
        <v>811</v>
      </c>
      <c r="L383" s="1"/>
      <c r="M383" s="1" t="s">
        <v>1173</v>
      </c>
      <c r="N383" s="6">
        <f>IFERROR(__xludf.DUMMYFUNCTION("IF(REGEXMATCH(A383, ""^00-""), 0, IF(AND(EQ(F383, """"), EQ(G383, """")), 1, 0))"),0.0)</f>
        <v>0</v>
      </c>
      <c r="O383" s="6">
        <f>IFERROR(__xludf.DUMMYFUNCTION("IF(REGEXMATCH(A383, ""^00-""), 0, IF(AND(NE(F383, """"), EQ(G383, """")), 1, 0))"),1.0)</f>
        <v>1</v>
      </c>
      <c r="P383" s="6">
        <f>IFERROR(__xludf.DUMMYFUNCTION("IF(REGEXMATCH(A383, ""^00-""), 0, IF(AND(EQ(F383, """"), NE(G383, """")), 1, 0))"),0.0)</f>
        <v>0</v>
      </c>
      <c r="Q383" s="6">
        <f>IFERROR(__xludf.DUMMYFUNCTION("IF(REGEXMATCH(A383, ""^00-""), 0, IF(AND(NE(F383, """"), NE(G383, """")), 1, 0))"),0.0)</f>
        <v>0</v>
      </c>
      <c r="R383" s="6">
        <f t="shared" si="1"/>
        <v>1</v>
      </c>
    </row>
    <row r="384">
      <c r="A384" s="1" t="s">
        <v>56</v>
      </c>
      <c r="B384" s="1" t="s">
        <v>1175</v>
      </c>
      <c r="C384" s="1">
        <v>334.0</v>
      </c>
      <c r="D384" s="1">
        <v>111.0</v>
      </c>
      <c r="E384" s="1">
        <v>445.0</v>
      </c>
      <c r="F384" s="1" t="s">
        <v>1176</v>
      </c>
      <c r="G384" s="1"/>
      <c r="H384" s="1" t="s">
        <v>235</v>
      </c>
      <c r="I384" s="1" t="s">
        <v>172</v>
      </c>
      <c r="J384" s="1" t="s">
        <v>1158</v>
      </c>
      <c r="K384" s="1" t="s">
        <v>811</v>
      </c>
      <c r="L384" s="1"/>
      <c r="M384" s="1" t="s">
        <v>1175</v>
      </c>
      <c r="N384" s="6">
        <f>IFERROR(__xludf.DUMMYFUNCTION("IF(REGEXMATCH(A384, ""^00-""), 0, IF(AND(EQ(F384, """"), EQ(G384, """")), 1, 0))"),0.0)</f>
        <v>0</v>
      </c>
      <c r="O384" s="6">
        <f>IFERROR(__xludf.DUMMYFUNCTION("IF(REGEXMATCH(A384, ""^00-""), 0, IF(AND(NE(F384, """"), EQ(G384, """")), 1, 0))"),1.0)</f>
        <v>1</v>
      </c>
      <c r="P384" s="6">
        <f>IFERROR(__xludf.DUMMYFUNCTION("IF(REGEXMATCH(A384, ""^00-""), 0, IF(AND(EQ(F384, """"), NE(G384, """")), 1, 0))"),0.0)</f>
        <v>0</v>
      </c>
      <c r="Q384" s="6">
        <f>IFERROR(__xludf.DUMMYFUNCTION("IF(REGEXMATCH(A384, ""^00-""), 0, IF(AND(NE(F384, """"), NE(G384, """")), 1, 0))"),0.0)</f>
        <v>0</v>
      </c>
      <c r="R384" s="6">
        <f t="shared" si="1"/>
        <v>1</v>
      </c>
    </row>
    <row r="385">
      <c r="A385" s="1" t="s">
        <v>56</v>
      </c>
      <c r="B385" s="1" t="s">
        <v>1177</v>
      </c>
      <c r="C385" s="1">
        <v>0.0</v>
      </c>
      <c r="D385" s="1">
        <v>445.0</v>
      </c>
      <c r="E385" s="1">
        <v>445.0</v>
      </c>
      <c r="F385" s="1" t="s">
        <v>1178</v>
      </c>
      <c r="G385" s="1"/>
      <c r="H385" s="1" t="s">
        <v>182</v>
      </c>
      <c r="I385" s="1" t="s">
        <v>172</v>
      </c>
      <c r="J385" s="1" t="s">
        <v>1158</v>
      </c>
      <c r="K385" s="1" t="s">
        <v>811</v>
      </c>
      <c r="L385" s="1"/>
      <c r="M385" s="1" t="s">
        <v>257</v>
      </c>
      <c r="N385" s="6">
        <f>IFERROR(__xludf.DUMMYFUNCTION("IF(REGEXMATCH(A385, ""^00-""), 0, IF(AND(EQ(F385, """"), EQ(G385, """")), 1, 0))"),0.0)</f>
        <v>0</v>
      </c>
      <c r="O385" s="6">
        <f>IFERROR(__xludf.DUMMYFUNCTION("IF(REGEXMATCH(A385, ""^00-""), 0, IF(AND(NE(F385, """"), EQ(G385, """")), 1, 0))"),1.0)</f>
        <v>1</v>
      </c>
      <c r="P385" s="6">
        <f>IFERROR(__xludf.DUMMYFUNCTION("IF(REGEXMATCH(A385, ""^00-""), 0, IF(AND(EQ(F385, """"), NE(G385, """")), 1, 0))"),0.0)</f>
        <v>0</v>
      </c>
      <c r="Q385" s="6">
        <f>IFERROR(__xludf.DUMMYFUNCTION("IF(REGEXMATCH(A385, ""^00-""), 0, IF(AND(NE(F385, """"), NE(G385, """")), 1, 0))"),0.0)</f>
        <v>0</v>
      </c>
      <c r="R385" s="6">
        <f t="shared" si="1"/>
        <v>1</v>
      </c>
    </row>
    <row r="386">
      <c r="A386" s="1" t="s">
        <v>56</v>
      </c>
      <c r="B386" s="1" t="s">
        <v>1179</v>
      </c>
      <c r="C386" s="1">
        <v>333.0</v>
      </c>
      <c r="D386" s="1">
        <v>112.0</v>
      </c>
      <c r="E386" s="1">
        <v>445.0</v>
      </c>
      <c r="F386" s="1" t="s">
        <v>1180</v>
      </c>
      <c r="G386" s="1"/>
      <c r="H386" s="1" t="s">
        <v>190</v>
      </c>
      <c r="I386" s="1" t="s">
        <v>172</v>
      </c>
      <c r="J386" s="1" t="s">
        <v>1158</v>
      </c>
      <c r="K386" s="1" t="s">
        <v>811</v>
      </c>
      <c r="L386" s="1"/>
      <c r="M386" s="1" t="s">
        <v>191</v>
      </c>
      <c r="N386" s="6">
        <f>IFERROR(__xludf.DUMMYFUNCTION("IF(REGEXMATCH(A386, ""^00-""), 0, IF(AND(EQ(F386, """"), EQ(G386, """")), 1, 0))"),0.0)</f>
        <v>0</v>
      </c>
      <c r="O386" s="6">
        <f>IFERROR(__xludf.DUMMYFUNCTION("IF(REGEXMATCH(A386, ""^00-""), 0, IF(AND(NE(F386, """"), EQ(G386, """")), 1, 0))"),1.0)</f>
        <v>1</v>
      </c>
      <c r="P386" s="6">
        <f>IFERROR(__xludf.DUMMYFUNCTION("IF(REGEXMATCH(A386, ""^00-""), 0, IF(AND(EQ(F386, """"), NE(G386, """")), 1, 0))"),0.0)</f>
        <v>0</v>
      </c>
      <c r="Q386" s="6">
        <f>IFERROR(__xludf.DUMMYFUNCTION("IF(REGEXMATCH(A386, ""^00-""), 0, IF(AND(NE(F386, """"), NE(G386, """")), 1, 0))"),0.0)</f>
        <v>0</v>
      </c>
      <c r="R386" s="6">
        <f t="shared" si="1"/>
        <v>1</v>
      </c>
    </row>
    <row r="387">
      <c r="A387" s="1" t="s">
        <v>56</v>
      </c>
      <c r="B387" s="1" t="s">
        <v>1181</v>
      </c>
      <c r="C387" s="1">
        <v>302.0</v>
      </c>
      <c r="D387" s="1">
        <v>143.0</v>
      </c>
      <c r="E387" s="1">
        <v>445.0</v>
      </c>
      <c r="F387" s="1" t="s">
        <v>1182</v>
      </c>
      <c r="G387" s="7"/>
      <c r="H387" s="1" t="s">
        <v>235</v>
      </c>
      <c r="I387" s="1" t="s">
        <v>172</v>
      </c>
      <c r="J387" s="1" t="s">
        <v>1158</v>
      </c>
      <c r="K387" s="1" t="s">
        <v>811</v>
      </c>
      <c r="L387" s="1"/>
      <c r="M387" s="1" t="s">
        <v>1181</v>
      </c>
      <c r="N387" s="6">
        <f>IFERROR(__xludf.DUMMYFUNCTION("IF(REGEXMATCH(A387, ""^00-""), 0, IF(AND(EQ(F387, """"), EQ(G387, """")), 1, 0))"),0.0)</f>
        <v>0</v>
      </c>
      <c r="O387" s="6">
        <f>IFERROR(__xludf.DUMMYFUNCTION("IF(REGEXMATCH(A387, ""^00-""), 0, IF(AND(NE(F387, """"), EQ(G387, """")), 1, 0))"),1.0)</f>
        <v>1</v>
      </c>
      <c r="P387" s="6">
        <f>IFERROR(__xludf.DUMMYFUNCTION("IF(REGEXMATCH(A387, ""^00-""), 0, IF(AND(EQ(F387, """"), NE(G387, """")), 1, 0))"),0.0)</f>
        <v>0</v>
      </c>
      <c r="Q387" s="6">
        <f>IFERROR(__xludf.DUMMYFUNCTION("IF(REGEXMATCH(A387, ""^00-""), 0, IF(AND(NE(F387, """"), NE(G387, """")), 1, 0))"),0.0)</f>
        <v>0</v>
      </c>
      <c r="R387" s="6">
        <f t="shared" si="1"/>
        <v>1</v>
      </c>
    </row>
    <row r="388">
      <c r="A388" s="1" t="s">
        <v>56</v>
      </c>
      <c r="B388" s="1" t="s">
        <v>1183</v>
      </c>
      <c r="C388" s="1">
        <v>304.0</v>
      </c>
      <c r="D388" s="1">
        <v>141.0</v>
      </c>
      <c r="E388" s="1">
        <v>445.0</v>
      </c>
      <c r="F388" s="1" t="s">
        <v>1184</v>
      </c>
      <c r="G388" s="1"/>
      <c r="H388" s="1" t="s">
        <v>190</v>
      </c>
      <c r="I388" s="1" t="s">
        <v>172</v>
      </c>
      <c r="J388" s="1" t="s">
        <v>1158</v>
      </c>
      <c r="K388" s="1" t="s">
        <v>811</v>
      </c>
      <c r="L388" s="1"/>
      <c r="M388" s="1" t="s">
        <v>191</v>
      </c>
      <c r="N388" s="6">
        <f>IFERROR(__xludf.DUMMYFUNCTION("IF(REGEXMATCH(A388, ""^00-""), 0, IF(AND(EQ(F388, """"), EQ(G388, """")), 1, 0))"),0.0)</f>
        <v>0</v>
      </c>
      <c r="O388" s="6">
        <f>IFERROR(__xludf.DUMMYFUNCTION("IF(REGEXMATCH(A388, ""^00-""), 0, IF(AND(NE(F388, """"), EQ(G388, """")), 1, 0))"),1.0)</f>
        <v>1</v>
      </c>
      <c r="P388" s="6">
        <f>IFERROR(__xludf.DUMMYFUNCTION("IF(REGEXMATCH(A388, ""^00-""), 0, IF(AND(EQ(F388, """"), NE(G388, """")), 1, 0))"),0.0)</f>
        <v>0</v>
      </c>
      <c r="Q388" s="6">
        <f>IFERROR(__xludf.DUMMYFUNCTION("IF(REGEXMATCH(A388, ""^00-""), 0, IF(AND(NE(F388, """"), NE(G388, """")), 1, 0))"),0.0)</f>
        <v>0</v>
      </c>
      <c r="R388" s="6">
        <f t="shared" si="1"/>
        <v>1</v>
      </c>
    </row>
    <row r="389">
      <c r="A389" s="1" t="s">
        <v>58</v>
      </c>
      <c r="B389" s="1" t="s">
        <v>1185</v>
      </c>
      <c r="C389" s="1">
        <v>54.0</v>
      </c>
      <c r="D389" s="1">
        <v>0.0</v>
      </c>
      <c r="E389" s="1">
        <v>54.0</v>
      </c>
      <c r="F389" s="1" t="s">
        <v>1186</v>
      </c>
      <c r="G389" s="1"/>
      <c r="H389" s="1" t="s">
        <v>182</v>
      </c>
      <c r="I389" s="1" t="s">
        <v>172</v>
      </c>
      <c r="J389" s="1" t="s">
        <v>1187</v>
      </c>
      <c r="K389" s="1" t="s">
        <v>811</v>
      </c>
      <c r="L389" s="1"/>
      <c r="M389" s="1" t="s">
        <v>185</v>
      </c>
      <c r="N389" s="6">
        <f>IFERROR(__xludf.DUMMYFUNCTION("IF(REGEXMATCH(A389, ""^00-""), 0, IF(AND(EQ(F389, """"), EQ(G389, """")), 1, 0))"),0.0)</f>
        <v>0</v>
      </c>
      <c r="O389" s="6">
        <f>IFERROR(__xludf.DUMMYFUNCTION("IF(REGEXMATCH(A389, ""^00-""), 0, IF(AND(NE(F389, """"), EQ(G389, """")), 1, 0))"),1.0)</f>
        <v>1</v>
      </c>
      <c r="P389" s="6">
        <f>IFERROR(__xludf.DUMMYFUNCTION("IF(REGEXMATCH(A389, ""^00-""), 0, IF(AND(EQ(F389, """"), NE(G389, """")), 1, 0))"),0.0)</f>
        <v>0</v>
      </c>
      <c r="Q389" s="6">
        <f>IFERROR(__xludf.DUMMYFUNCTION("IF(REGEXMATCH(A389, ""^00-""), 0, IF(AND(NE(F389, """"), NE(G389, """")), 1, 0))"),0.0)</f>
        <v>0</v>
      </c>
      <c r="R389" s="6">
        <f t="shared" si="1"/>
        <v>1</v>
      </c>
    </row>
    <row r="390">
      <c r="A390" s="1" t="s">
        <v>58</v>
      </c>
      <c r="B390" s="1" t="s">
        <v>1188</v>
      </c>
      <c r="C390" s="1">
        <v>54.0</v>
      </c>
      <c r="D390" s="1">
        <v>0.0</v>
      </c>
      <c r="E390" s="1">
        <v>54.0</v>
      </c>
      <c r="F390" s="1" t="s">
        <v>1189</v>
      </c>
      <c r="G390" s="1"/>
      <c r="H390" s="1" t="s">
        <v>182</v>
      </c>
      <c r="I390" s="1" t="s">
        <v>172</v>
      </c>
      <c r="J390" s="1" t="s">
        <v>1187</v>
      </c>
      <c r="K390" s="1" t="s">
        <v>811</v>
      </c>
      <c r="L390" s="1"/>
      <c r="M390" s="1" t="s">
        <v>185</v>
      </c>
      <c r="N390" s="6">
        <f>IFERROR(__xludf.DUMMYFUNCTION("IF(REGEXMATCH(A390, ""^00-""), 0, IF(AND(EQ(F390, """"), EQ(G390, """")), 1, 0))"),0.0)</f>
        <v>0</v>
      </c>
      <c r="O390" s="6">
        <f>IFERROR(__xludf.DUMMYFUNCTION("IF(REGEXMATCH(A390, ""^00-""), 0, IF(AND(NE(F390, """"), EQ(G390, """")), 1, 0))"),1.0)</f>
        <v>1</v>
      </c>
      <c r="P390" s="6">
        <f>IFERROR(__xludf.DUMMYFUNCTION("IF(REGEXMATCH(A390, ""^00-""), 0, IF(AND(EQ(F390, """"), NE(G390, """")), 1, 0))"),0.0)</f>
        <v>0</v>
      </c>
      <c r="Q390" s="6">
        <f>IFERROR(__xludf.DUMMYFUNCTION("IF(REGEXMATCH(A390, ""^00-""), 0, IF(AND(NE(F390, """"), NE(G390, """")), 1, 0))"),0.0)</f>
        <v>0</v>
      </c>
      <c r="R390" s="6">
        <f t="shared" si="1"/>
        <v>1</v>
      </c>
    </row>
    <row r="391">
      <c r="A391" s="1" t="s">
        <v>58</v>
      </c>
      <c r="B391" s="1" t="s">
        <v>1190</v>
      </c>
      <c r="C391" s="1">
        <v>54.0</v>
      </c>
      <c r="D391" s="1">
        <v>0.0</v>
      </c>
      <c r="E391" s="1">
        <v>54.0</v>
      </c>
      <c r="F391" s="1" t="s">
        <v>1191</v>
      </c>
      <c r="G391" s="1"/>
      <c r="H391" s="1" t="s">
        <v>250</v>
      </c>
      <c r="I391" s="1" t="s">
        <v>172</v>
      </c>
      <c r="J391" s="1" t="s">
        <v>1187</v>
      </c>
      <c r="K391" s="1" t="s">
        <v>811</v>
      </c>
      <c r="L391" s="1"/>
      <c r="M391" s="1" t="s">
        <v>250</v>
      </c>
      <c r="N391" s="6">
        <f>IFERROR(__xludf.DUMMYFUNCTION("IF(REGEXMATCH(A391, ""^00-""), 0, IF(AND(EQ(F391, """"), EQ(G391, """")), 1, 0))"),0.0)</f>
        <v>0</v>
      </c>
      <c r="O391" s="6">
        <f>IFERROR(__xludf.DUMMYFUNCTION("IF(REGEXMATCH(A391, ""^00-""), 0, IF(AND(NE(F391, """"), EQ(G391, """")), 1, 0))"),1.0)</f>
        <v>1</v>
      </c>
      <c r="P391" s="6">
        <f>IFERROR(__xludf.DUMMYFUNCTION("IF(REGEXMATCH(A391, ""^00-""), 0, IF(AND(EQ(F391, """"), NE(G391, """")), 1, 0))"),0.0)</f>
        <v>0</v>
      </c>
      <c r="Q391" s="6">
        <f>IFERROR(__xludf.DUMMYFUNCTION("IF(REGEXMATCH(A391, ""^00-""), 0, IF(AND(NE(F391, """"), NE(G391, """")), 1, 0))"),0.0)</f>
        <v>0</v>
      </c>
      <c r="R391" s="6">
        <f t="shared" si="1"/>
        <v>1</v>
      </c>
    </row>
    <row r="392">
      <c r="A392" s="1" t="s">
        <v>58</v>
      </c>
      <c r="B392" s="1" t="s">
        <v>1192</v>
      </c>
      <c r="C392" s="1">
        <v>54.0</v>
      </c>
      <c r="D392" s="1">
        <v>0.0</v>
      </c>
      <c r="E392" s="1">
        <v>54.0</v>
      </c>
      <c r="F392" s="1" t="s">
        <v>1193</v>
      </c>
      <c r="G392" s="1"/>
      <c r="H392" s="1" t="s">
        <v>254</v>
      </c>
      <c r="I392" s="1" t="s">
        <v>172</v>
      </c>
      <c r="J392" s="1" t="s">
        <v>1187</v>
      </c>
      <c r="K392" s="1" t="s">
        <v>811</v>
      </c>
      <c r="L392" s="1"/>
      <c r="M392" s="1" t="s">
        <v>254</v>
      </c>
      <c r="N392" s="6">
        <f>IFERROR(__xludf.DUMMYFUNCTION("IF(REGEXMATCH(A392, ""^00-""), 0, IF(AND(EQ(F392, """"), EQ(G392, """")), 1, 0))"),0.0)</f>
        <v>0</v>
      </c>
      <c r="O392" s="6">
        <f>IFERROR(__xludf.DUMMYFUNCTION("IF(REGEXMATCH(A392, ""^00-""), 0, IF(AND(NE(F392, """"), EQ(G392, """")), 1, 0))"),1.0)</f>
        <v>1</v>
      </c>
      <c r="P392" s="6">
        <f>IFERROR(__xludf.DUMMYFUNCTION("IF(REGEXMATCH(A392, ""^00-""), 0, IF(AND(EQ(F392, """"), NE(G392, """")), 1, 0))"),0.0)</f>
        <v>0</v>
      </c>
      <c r="Q392" s="6">
        <f>IFERROR(__xludf.DUMMYFUNCTION("IF(REGEXMATCH(A392, ""^00-""), 0, IF(AND(NE(F392, """"), NE(G392, """")), 1, 0))"),0.0)</f>
        <v>0</v>
      </c>
      <c r="R392" s="6">
        <f t="shared" si="1"/>
        <v>1</v>
      </c>
    </row>
    <row r="393">
      <c r="A393" s="1" t="s">
        <v>58</v>
      </c>
      <c r="B393" s="1" t="s">
        <v>1194</v>
      </c>
      <c r="C393" s="1">
        <v>33.0</v>
      </c>
      <c r="D393" s="1">
        <v>21.0</v>
      </c>
      <c r="E393" s="1">
        <v>54.0</v>
      </c>
      <c r="F393" s="1" t="s">
        <v>1195</v>
      </c>
      <c r="G393" s="1"/>
      <c r="H393" s="1" t="s">
        <v>182</v>
      </c>
      <c r="I393" s="1" t="s">
        <v>172</v>
      </c>
      <c r="J393" s="1" t="s">
        <v>1187</v>
      </c>
      <c r="K393" s="1" t="s">
        <v>811</v>
      </c>
      <c r="L393" s="1"/>
      <c r="M393" s="1" t="s">
        <v>257</v>
      </c>
      <c r="N393" s="6">
        <f>IFERROR(__xludf.DUMMYFUNCTION("IF(REGEXMATCH(A393, ""^00-""), 0, IF(AND(EQ(F393, """"), EQ(G393, """")), 1, 0))"),0.0)</f>
        <v>0</v>
      </c>
      <c r="O393" s="6">
        <f>IFERROR(__xludf.DUMMYFUNCTION("IF(REGEXMATCH(A393, ""^00-""), 0, IF(AND(NE(F393, """"), EQ(G393, """")), 1, 0))"),1.0)</f>
        <v>1</v>
      </c>
      <c r="P393" s="6">
        <f>IFERROR(__xludf.DUMMYFUNCTION("IF(REGEXMATCH(A393, ""^00-""), 0, IF(AND(EQ(F393, """"), NE(G393, """")), 1, 0))"),0.0)</f>
        <v>0</v>
      </c>
      <c r="Q393" s="6">
        <f>IFERROR(__xludf.DUMMYFUNCTION("IF(REGEXMATCH(A393, ""^00-""), 0, IF(AND(NE(F393, """"), NE(G393, """")), 1, 0))"),0.0)</f>
        <v>0</v>
      </c>
      <c r="R393" s="6">
        <f t="shared" si="1"/>
        <v>1</v>
      </c>
    </row>
    <row r="394">
      <c r="A394" s="1" t="s">
        <v>58</v>
      </c>
      <c r="B394" s="1" t="s">
        <v>1196</v>
      </c>
      <c r="C394" s="1">
        <v>11.0</v>
      </c>
      <c r="D394" s="1">
        <v>43.0</v>
      </c>
      <c r="E394" s="1">
        <v>54.0</v>
      </c>
      <c r="F394" s="1" t="s">
        <v>1197</v>
      </c>
      <c r="G394" s="1"/>
      <c r="H394" s="1" t="s">
        <v>182</v>
      </c>
      <c r="I394" s="1" t="s">
        <v>172</v>
      </c>
      <c r="J394" s="1" t="s">
        <v>1187</v>
      </c>
      <c r="K394" s="1" t="s">
        <v>811</v>
      </c>
      <c r="L394" s="1"/>
      <c r="M394" s="1" t="s">
        <v>257</v>
      </c>
      <c r="N394" s="6">
        <f>IFERROR(__xludf.DUMMYFUNCTION("IF(REGEXMATCH(A394, ""^00-""), 0, IF(AND(EQ(F394, """"), EQ(G394, """")), 1, 0))"),0.0)</f>
        <v>0</v>
      </c>
      <c r="O394" s="6">
        <f>IFERROR(__xludf.DUMMYFUNCTION("IF(REGEXMATCH(A394, ""^00-""), 0, IF(AND(NE(F394, """"), EQ(G394, """")), 1, 0))"),1.0)</f>
        <v>1</v>
      </c>
      <c r="P394" s="6">
        <f>IFERROR(__xludf.DUMMYFUNCTION("IF(REGEXMATCH(A394, ""^00-""), 0, IF(AND(EQ(F394, """"), NE(G394, """")), 1, 0))"),0.0)</f>
        <v>0</v>
      </c>
      <c r="Q394" s="6">
        <f>IFERROR(__xludf.DUMMYFUNCTION("IF(REGEXMATCH(A394, ""^00-""), 0, IF(AND(NE(F394, """"), NE(G394, """")), 1, 0))"),0.0)</f>
        <v>0</v>
      </c>
      <c r="R394" s="6">
        <f t="shared" si="1"/>
        <v>1</v>
      </c>
    </row>
    <row r="395">
      <c r="A395" s="1" t="s">
        <v>58</v>
      </c>
      <c r="B395" s="1" t="s">
        <v>1198</v>
      </c>
      <c r="C395" s="1">
        <v>38.0</v>
      </c>
      <c r="D395" s="1">
        <v>16.0</v>
      </c>
      <c r="E395" s="1">
        <v>54.0</v>
      </c>
      <c r="F395" s="1" t="s">
        <v>1199</v>
      </c>
      <c r="G395" s="1"/>
      <c r="H395" s="1" t="s">
        <v>182</v>
      </c>
      <c r="I395" s="1" t="s">
        <v>172</v>
      </c>
      <c r="J395" s="1" t="s">
        <v>1187</v>
      </c>
      <c r="K395" s="1" t="s">
        <v>811</v>
      </c>
      <c r="L395" s="1"/>
      <c r="M395" s="1" t="s">
        <v>257</v>
      </c>
      <c r="N395" s="6">
        <f>IFERROR(__xludf.DUMMYFUNCTION("IF(REGEXMATCH(A395, ""^00-""), 0, IF(AND(EQ(F395, """"), EQ(G395, """")), 1, 0))"),0.0)</f>
        <v>0</v>
      </c>
      <c r="O395" s="6">
        <f>IFERROR(__xludf.DUMMYFUNCTION("IF(REGEXMATCH(A395, ""^00-""), 0, IF(AND(NE(F395, """"), EQ(G395, """")), 1, 0))"),1.0)</f>
        <v>1</v>
      </c>
      <c r="P395" s="6">
        <f>IFERROR(__xludf.DUMMYFUNCTION("IF(REGEXMATCH(A395, ""^00-""), 0, IF(AND(EQ(F395, """"), NE(G395, """")), 1, 0))"),0.0)</f>
        <v>0</v>
      </c>
      <c r="Q395" s="6">
        <f>IFERROR(__xludf.DUMMYFUNCTION("IF(REGEXMATCH(A395, ""^00-""), 0, IF(AND(NE(F395, """"), NE(G395, """")), 1, 0))"),0.0)</f>
        <v>0</v>
      </c>
      <c r="R395" s="6">
        <f t="shared" si="1"/>
        <v>1</v>
      </c>
    </row>
    <row r="396">
      <c r="A396" s="1" t="s">
        <v>58</v>
      </c>
      <c r="B396" s="1" t="s">
        <v>1200</v>
      </c>
      <c r="C396" s="1">
        <v>39.0</v>
      </c>
      <c r="D396" s="1">
        <v>15.0</v>
      </c>
      <c r="E396" s="1">
        <v>54.0</v>
      </c>
      <c r="F396" s="1" t="s">
        <v>1201</v>
      </c>
      <c r="G396" s="1"/>
      <c r="H396" s="1" t="s">
        <v>182</v>
      </c>
      <c r="I396" s="1" t="s">
        <v>172</v>
      </c>
      <c r="J396" s="1" t="s">
        <v>1187</v>
      </c>
      <c r="K396" s="1" t="s">
        <v>811</v>
      </c>
      <c r="L396" s="1"/>
      <c r="M396" s="1" t="s">
        <v>257</v>
      </c>
      <c r="N396" s="6">
        <f>IFERROR(__xludf.DUMMYFUNCTION("IF(REGEXMATCH(A396, ""^00-""), 0, IF(AND(EQ(F396, """"), EQ(G396, """")), 1, 0))"),0.0)</f>
        <v>0</v>
      </c>
      <c r="O396" s="6">
        <f>IFERROR(__xludf.DUMMYFUNCTION("IF(REGEXMATCH(A396, ""^00-""), 0, IF(AND(NE(F396, """"), EQ(G396, """")), 1, 0))"),1.0)</f>
        <v>1</v>
      </c>
      <c r="P396" s="6">
        <f>IFERROR(__xludf.DUMMYFUNCTION("IF(REGEXMATCH(A396, ""^00-""), 0, IF(AND(EQ(F396, """"), NE(G396, """")), 1, 0))"),0.0)</f>
        <v>0</v>
      </c>
      <c r="Q396" s="6">
        <f>IFERROR(__xludf.DUMMYFUNCTION("IF(REGEXMATCH(A396, ""^00-""), 0, IF(AND(NE(F396, """"), NE(G396, """")), 1, 0))"),0.0)</f>
        <v>0</v>
      </c>
      <c r="R396" s="6">
        <f t="shared" si="1"/>
        <v>1</v>
      </c>
    </row>
    <row r="397">
      <c r="A397" s="1" t="s">
        <v>58</v>
      </c>
      <c r="B397" s="1" t="s">
        <v>1202</v>
      </c>
      <c r="C397" s="1">
        <v>40.0</v>
      </c>
      <c r="D397" s="1">
        <v>14.0</v>
      </c>
      <c r="E397" s="1">
        <v>54.0</v>
      </c>
      <c r="F397" s="1" t="s">
        <v>1203</v>
      </c>
      <c r="G397" s="1"/>
      <c r="H397" s="1" t="s">
        <v>182</v>
      </c>
      <c r="I397" s="1" t="s">
        <v>172</v>
      </c>
      <c r="J397" s="1" t="s">
        <v>1187</v>
      </c>
      <c r="K397" s="1" t="s">
        <v>811</v>
      </c>
      <c r="L397" s="1"/>
      <c r="M397" s="1" t="s">
        <v>257</v>
      </c>
      <c r="N397" s="6">
        <f>IFERROR(__xludf.DUMMYFUNCTION("IF(REGEXMATCH(A397, ""^00-""), 0, IF(AND(EQ(F397, """"), EQ(G397, """")), 1, 0))"),0.0)</f>
        <v>0</v>
      </c>
      <c r="O397" s="6">
        <f>IFERROR(__xludf.DUMMYFUNCTION("IF(REGEXMATCH(A397, ""^00-""), 0, IF(AND(NE(F397, """"), EQ(G397, """")), 1, 0))"),1.0)</f>
        <v>1</v>
      </c>
      <c r="P397" s="6">
        <f>IFERROR(__xludf.DUMMYFUNCTION("IF(REGEXMATCH(A397, ""^00-""), 0, IF(AND(EQ(F397, """"), NE(G397, """")), 1, 0))"),0.0)</f>
        <v>0</v>
      </c>
      <c r="Q397" s="6">
        <f>IFERROR(__xludf.DUMMYFUNCTION("IF(REGEXMATCH(A397, ""^00-""), 0, IF(AND(NE(F397, """"), NE(G397, """")), 1, 0))"),0.0)</f>
        <v>0</v>
      </c>
      <c r="R397" s="6">
        <f t="shared" si="1"/>
        <v>1</v>
      </c>
    </row>
    <row r="398">
      <c r="A398" s="1" t="s">
        <v>60</v>
      </c>
      <c r="B398" s="1" t="s">
        <v>1204</v>
      </c>
      <c r="C398" s="1">
        <v>210.0</v>
      </c>
      <c r="D398" s="1">
        <v>0.0</v>
      </c>
      <c r="E398" s="1">
        <v>210.0</v>
      </c>
      <c r="F398" s="1"/>
      <c r="G398" s="1" t="s">
        <v>1205</v>
      </c>
      <c r="H398" s="1" t="s">
        <v>182</v>
      </c>
      <c r="I398" s="1" t="s">
        <v>172</v>
      </c>
      <c r="J398" s="1" t="s">
        <v>1206</v>
      </c>
      <c r="K398" s="1" t="s">
        <v>811</v>
      </c>
      <c r="L398" s="1"/>
      <c r="M398" s="1" t="s">
        <v>185</v>
      </c>
      <c r="N398" s="6">
        <f>IFERROR(__xludf.DUMMYFUNCTION("IF(REGEXMATCH(A398, ""^00-""), 0, IF(AND(EQ(F398, """"), EQ(G398, """")), 1, 0))"),0.0)</f>
        <v>0</v>
      </c>
      <c r="O398" s="6">
        <f>IFERROR(__xludf.DUMMYFUNCTION("IF(REGEXMATCH(A398, ""^00-""), 0, IF(AND(NE(F398, """"), EQ(G398, """")), 1, 0))"),0.0)</f>
        <v>0</v>
      </c>
      <c r="P398" s="6">
        <f>IFERROR(__xludf.DUMMYFUNCTION("IF(REGEXMATCH(A398, ""^00-""), 0, IF(AND(EQ(F398, """"), NE(G398, """")), 1, 0))"),1.0)</f>
        <v>1</v>
      </c>
      <c r="Q398" s="6">
        <f>IFERROR(__xludf.DUMMYFUNCTION("IF(REGEXMATCH(A398, ""^00-""), 0, IF(AND(NE(F398, """"), NE(G398, """")), 1, 0))"),0.0)</f>
        <v>0</v>
      </c>
      <c r="R398" s="6">
        <f t="shared" si="1"/>
        <v>1</v>
      </c>
    </row>
    <row r="399">
      <c r="A399" s="1" t="s">
        <v>60</v>
      </c>
      <c r="B399" s="1" t="s">
        <v>1207</v>
      </c>
      <c r="C399" s="1">
        <v>210.0</v>
      </c>
      <c r="D399" s="1">
        <v>0.0</v>
      </c>
      <c r="E399" s="1">
        <v>210.0</v>
      </c>
      <c r="F399" s="1"/>
      <c r="G399" s="1" t="s">
        <v>1208</v>
      </c>
      <c r="H399" s="1" t="s">
        <v>190</v>
      </c>
      <c r="I399" s="1" t="s">
        <v>172</v>
      </c>
      <c r="J399" s="1" t="s">
        <v>1206</v>
      </c>
      <c r="K399" s="1" t="s">
        <v>811</v>
      </c>
      <c r="L399" s="1"/>
      <c r="M399" s="1" t="s">
        <v>191</v>
      </c>
      <c r="N399" s="6">
        <f>IFERROR(__xludf.DUMMYFUNCTION("IF(REGEXMATCH(A399, ""^00-""), 0, IF(AND(EQ(F399, """"), EQ(G399, """")), 1, 0))"),0.0)</f>
        <v>0</v>
      </c>
      <c r="O399" s="6">
        <f>IFERROR(__xludf.DUMMYFUNCTION("IF(REGEXMATCH(A399, ""^00-""), 0, IF(AND(NE(F399, """"), EQ(G399, """")), 1, 0))"),0.0)</f>
        <v>0</v>
      </c>
      <c r="P399" s="6">
        <f>IFERROR(__xludf.DUMMYFUNCTION("IF(REGEXMATCH(A399, ""^00-""), 0, IF(AND(EQ(F399, """"), NE(G399, """")), 1, 0))"),1.0)</f>
        <v>1</v>
      </c>
      <c r="Q399" s="6">
        <f>IFERROR(__xludf.DUMMYFUNCTION("IF(REGEXMATCH(A399, ""^00-""), 0, IF(AND(NE(F399, """"), NE(G399, """")), 1, 0))"),0.0)</f>
        <v>0</v>
      </c>
      <c r="R399" s="6">
        <f t="shared" si="1"/>
        <v>1</v>
      </c>
    </row>
    <row r="400">
      <c r="A400" s="1" t="s">
        <v>60</v>
      </c>
      <c r="B400" s="1" t="s">
        <v>1209</v>
      </c>
      <c r="C400" s="1">
        <v>57.0</v>
      </c>
      <c r="D400" s="1">
        <v>153.0</v>
      </c>
      <c r="E400" s="1">
        <v>210.0</v>
      </c>
      <c r="F400" s="1"/>
      <c r="G400" s="1" t="s">
        <v>1210</v>
      </c>
      <c r="H400" s="1" t="s">
        <v>190</v>
      </c>
      <c r="I400" s="1" t="s">
        <v>172</v>
      </c>
      <c r="J400" s="1" t="s">
        <v>1206</v>
      </c>
      <c r="K400" s="1" t="s">
        <v>811</v>
      </c>
      <c r="L400" s="1"/>
      <c r="M400" s="1" t="s">
        <v>191</v>
      </c>
      <c r="N400" s="6">
        <f>IFERROR(__xludf.DUMMYFUNCTION("IF(REGEXMATCH(A400, ""^00-""), 0, IF(AND(EQ(F400, """"), EQ(G400, """")), 1, 0))"),0.0)</f>
        <v>0</v>
      </c>
      <c r="O400" s="6">
        <f>IFERROR(__xludf.DUMMYFUNCTION("IF(REGEXMATCH(A400, ""^00-""), 0, IF(AND(NE(F400, """"), EQ(G400, """")), 1, 0))"),0.0)</f>
        <v>0</v>
      </c>
      <c r="P400" s="6">
        <f>IFERROR(__xludf.DUMMYFUNCTION("IF(REGEXMATCH(A400, ""^00-""), 0, IF(AND(EQ(F400, """"), NE(G400, """")), 1, 0))"),1.0)</f>
        <v>1</v>
      </c>
      <c r="Q400" s="6">
        <f>IFERROR(__xludf.DUMMYFUNCTION("IF(REGEXMATCH(A400, ""^00-""), 0, IF(AND(NE(F400, """"), NE(G400, """")), 1, 0))"),0.0)</f>
        <v>0</v>
      </c>
      <c r="R400" s="6">
        <f t="shared" si="1"/>
        <v>1</v>
      </c>
    </row>
    <row r="401">
      <c r="A401" s="1" t="s">
        <v>60</v>
      </c>
      <c r="B401" s="1" t="s">
        <v>1211</v>
      </c>
      <c r="C401" s="1">
        <v>3.0</v>
      </c>
      <c r="D401" s="1">
        <v>207.0</v>
      </c>
      <c r="E401" s="1">
        <v>210.0</v>
      </c>
      <c r="F401" s="1"/>
      <c r="G401" s="1" t="s">
        <v>1212</v>
      </c>
      <c r="H401" s="1" t="s">
        <v>235</v>
      </c>
      <c r="I401" s="1" t="s">
        <v>172</v>
      </c>
      <c r="J401" s="1" t="s">
        <v>1206</v>
      </c>
      <c r="K401" s="1" t="s">
        <v>811</v>
      </c>
      <c r="L401" s="1"/>
      <c r="M401" s="1" t="s">
        <v>1211</v>
      </c>
      <c r="N401" s="6">
        <f>IFERROR(__xludf.DUMMYFUNCTION("IF(REGEXMATCH(A401, ""^00-""), 0, IF(AND(EQ(F401, """"), EQ(G401, """")), 1, 0))"),0.0)</f>
        <v>0</v>
      </c>
      <c r="O401" s="6">
        <f>IFERROR(__xludf.DUMMYFUNCTION("IF(REGEXMATCH(A401, ""^00-""), 0, IF(AND(NE(F401, """"), EQ(G401, """")), 1, 0))"),0.0)</f>
        <v>0</v>
      </c>
      <c r="P401" s="6">
        <f>IFERROR(__xludf.DUMMYFUNCTION("IF(REGEXMATCH(A401, ""^00-""), 0, IF(AND(EQ(F401, """"), NE(G401, """")), 1, 0))"),1.0)</f>
        <v>1</v>
      </c>
      <c r="Q401" s="6">
        <f>IFERROR(__xludf.DUMMYFUNCTION("IF(REGEXMATCH(A401, ""^00-""), 0, IF(AND(NE(F401, """"), NE(G401, """")), 1, 0))"),0.0)</f>
        <v>0</v>
      </c>
      <c r="R401" s="6">
        <f t="shared" si="1"/>
        <v>1</v>
      </c>
    </row>
    <row r="402">
      <c r="A402" s="1" t="s">
        <v>60</v>
      </c>
      <c r="B402" s="1" t="s">
        <v>1213</v>
      </c>
      <c r="C402" s="1">
        <v>1.0</v>
      </c>
      <c r="D402" s="1">
        <v>209.0</v>
      </c>
      <c r="E402" s="1">
        <v>210.0</v>
      </c>
      <c r="F402" s="1"/>
      <c r="G402" s="1" t="s">
        <v>1214</v>
      </c>
      <c r="H402" s="1" t="s">
        <v>171</v>
      </c>
      <c r="I402" s="1" t="s">
        <v>172</v>
      </c>
      <c r="J402" s="1" t="s">
        <v>1206</v>
      </c>
      <c r="K402" s="1" t="s">
        <v>811</v>
      </c>
      <c r="L402" s="1"/>
      <c r="M402" s="1" t="s">
        <v>171</v>
      </c>
      <c r="N402" s="6">
        <f>IFERROR(__xludf.DUMMYFUNCTION("IF(REGEXMATCH(A402, ""^00-""), 0, IF(AND(EQ(F402, """"), EQ(G402, """")), 1, 0))"),0.0)</f>
        <v>0</v>
      </c>
      <c r="O402" s="6">
        <f>IFERROR(__xludf.DUMMYFUNCTION("IF(REGEXMATCH(A402, ""^00-""), 0, IF(AND(NE(F402, """"), EQ(G402, """")), 1, 0))"),0.0)</f>
        <v>0</v>
      </c>
      <c r="P402" s="6">
        <f>IFERROR(__xludf.DUMMYFUNCTION("IF(REGEXMATCH(A402, ""^00-""), 0, IF(AND(EQ(F402, """"), NE(G402, """")), 1, 0))"),1.0)</f>
        <v>1</v>
      </c>
      <c r="Q402" s="6">
        <f>IFERROR(__xludf.DUMMYFUNCTION("IF(REGEXMATCH(A402, ""^00-""), 0, IF(AND(NE(F402, """"), NE(G402, """")), 1, 0))"),0.0)</f>
        <v>0</v>
      </c>
      <c r="R402" s="6">
        <f t="shared" si="1"/>
        <v>1</v>
      </c>
    </row>
    <row r="403">
      <c r="A403" s="1" t="s">
        <v>60</v>
      </c>
      <c r="B403" s="1" t="s">
        <v>1215</v>
      </c>
      <c r="C403" s="1">
        <v>57.0</v>
      </c>
      <c r="D403" s="1">
        <v>153.0</v>
      </c>
      <c r="E403" s="1">
        <v>210.0</v>
      </c>
      <c r="F403" s="1"/>
      <c r="G403" s="1" t="s">
        <v>1216</v>
      </c>
      <c r="H403" s="1" t="s">
        <v>190</v>
      </c>
      <c r="I403" s="1" t="s">
        <v>172</v>
      </c>
      <c r="J403" s="1" t="s">
        <v>1206</v>
      </c>
      <c r="K403" s="1" t="s">
        <v>811</v>
      </c>
      <c r="L403" s="1"/>
      <c r="M403" s="1" t="s">
        <v>191</v>
      </c>
      <c r="N403" s="6">
        <f>IFERROR(__xludf.DUMMYFUNCTION("IF(REGEXMATCH(A403, ""^00-""), 0, IF(AND(EQ(F403, """"), EQ(G403, """")), 1, 0))"),0.0)</f>
        <v>0</v>
      </c>
      <c r="O403" s="6">
        <f>IFERROR(__xludf.DUMMYFUNCTION("IF(REGEXMATCH(A403, ""^00-""), 0, IF(AND(NE(F403, """"), EQ(G403, """")), 1, 0))"),0.0)</f>
        <v>0</v>
      </c>
      <c r="P403" s="6">
        <f>IFERROR(__xludf.DUMMYFUNCTION("IF(REGEXMATCH(A403, ""^00-""), 0, IF(AND(EQ(F403, """"), NE(G403, """")), 1, 0))"),1.0)</f>
        <v>1</v>
      </c>
      <c r="Q403" s="6">
        <f>IFERROR(__xludf.DUMMYFUNCTION("IF(REGEXMATCH(A403, ""^00-""), 0, IF(AND(NE(F403, """"), NE(G403, """")), 1, 0))"),0.0)</f>
        <v>0</v>
      </c>
      <c r="R403" s="6">
        <f t="shared" si="1"/>
        <v>1</v>
      </c>
    </row>
    <row r="404">
      <c r="A404" s="1" t="s">
        <v>60</v>
      </c>
      <c r="B404" s="1" t="s">
        <v>1217</v>
      </c>
      <c r="C404" s="1">
        <v>57.0</v>
      </c>
      <c r="D404" s="1">
        <v>153.0</v>
      </c>
      <c r="E404" s="1">
        <v>210.0</v>
      </c>
      <c r="F404" s="1"/>
      <c r="G404" s="1" t="s">
        <v>1218</v>
      </c>
      <c r="H404" s="1" t="s">
        <v>250</v>
      </c>
      <c r="I404" s="1" t="s">
        <v>172</v>
      </c>
      <c r="J404" s="1" t="s">
        <v>1206</v>
      </c>
      <c r="K404" s="1" t="s">
        <v>811</v>
      </c>
      <c r="L404" s="1"/>
      <c r="M404" s="1" t="s">
        <v>250</v>
      </c>
      <c r="N404" s="6">
        <f>IFERROR(__xludf.DUMMYFUNCTION("IF(REGEXMATCH(A404, ""^00-""), 0, IF(AND(EQ(F404, """"), EQ(G404, """")), 1, 0))"),0.0)</f>
        <v>0</v>
      </c>
      <c r="O404" s="6">
        <f>IFERROR(__xludf.DUMMYFUNCTION("IF(REGEXMATCH(A404, ""^00-""), 0, IF(AND(NE(F404, """"), EQ(G404, """")), 1, 0))"),0.0)</f>
        <v>0</v>
      </c>
      <c r="P404" s="6">
        <f>IFERROR(__xludf.DUMMYFUNCTION("IF(REGEXMATCH(A404, ""^00-""), 0, IF(AND(EQ(F404, """"), NE(G404, """")), 1, 0))"),1.0)</f>
        <v>1</v>
      </c>
      <c r="Q404" s="6">
        <f>IFERROR(__xludf.DUMMYFUNCTION("IF(REGEXMATCH(A404, ""^00-""), 0, IF(AND(NE(F404, """"), NE(G404, """")), 1, 0))"),0.0)</f>
        <v>0</v>
      </c>
      <c r="R404" s="6">
        <f t="shared" si="1"/>
        <v>1</v>
      </c>
    </row>
    <row r="405">
      <c r="A405" s="1" t="s">
        <v>60</v>
      </c>
      <c r="B405" s="1" t="s">
        <v>1219</v>
      </c>
      <c r="C405" s="1">
        <v>57.0</v>
      </c>
      <c r="D405" s="1">
        <v>153.0</v>
      </c>
      <c r="E405" s="1">
        <v>210.0</v>
      </c>
      <c r="F405" s="1"/>
      <c r="G405" s="1" t="s">
        <v>1220</v>
      </c>
      <c r="H405" s="1" t="s">
        <v>254</v>
      </c>
      <c r="I405" s="1" t="s">
        <v>172</v>
      </c>
      <c r="J405" s="1" t="s">
        <v>1206</v>
      </c>
      <c r="K405" s="1" t="s">
        <v>811</v>
      </c>
      <c r="L405" s="1"/>
      <c r="M405" s="1" t="s">
        <v>254</v>
      </c>
      <c r="N405" s="6">
        <f>IFERROR(__xludf.DUMMYFUNCTION("IF(REGEXMATCH(A405, ""^00-""), 0, IF(AND(EQ(F405, """"), EQ(G405, """")), 1, 0))"),0.0)</f>
        <v>0</v>
      </c>
      <c r="O405" s="6">
        <f>IFERROR(__xludf.DUMMYFUNCTION("IF(REGEXMATCH(A405, ""^00-""), 0, IF(AND(NE(F405, """"), EQ(G405, """")), 1, 0))"),0.0)</f>
        <v>0</v>
      </c>
      <c r="P405" s="6">
        <f>IFERROR(__xludf.DUMMYFUNCTION("IF(REGEXMATCH(A405, ""^00-""), 0, IF(AND(EQ(F405, """"), NE(G405, """")), 1, 0))"),1.0)</f>
        <v>1</v>
      </c>
      <c r="Q405" s="6">
        <f>IFERROR(__xludf.DUMMYFUNCTION("IF(REGEXMATCH(A405, ""^00-""), 0, IF(AND(NE(F405, """"), NE(G405, """")), 1, 0))"),0.0)</f>
        <v>0</v>
      </c>
      <c r="R405" s="6">
        <f t="shared" si="1"/>
        <v>1</v>
      </c>
    </row>
    <row r="406">
      <c r="A406" s="1" t="s">
        <v>60</v>
      </c>
      <c r="B406" s="1" t="s">
        <v>1221</v>
      </c>
      <c r="C406" s="1">
        <v>54.0</v>
      </c>
      <c r="D406" s="1">
        <v>156.0</v>
      </c>
      <c r="E406" s="1">
        <v>210.0</v>
      </c>
      <c r="F406" s="1"/>
      <c r="G406" s="1" t="s">
        <v>1222</v>
      </c>
      <c r="H406" s="1" t="s">
        <v>269</v>
      </c>
      <c r="I406" s="1" t="s">
        <v>172</v>
      </c>
      <c r="J406" s="1" t="s">
        <v>1206</v>
      </c>
      <c r="K406" s="1" t="s">
        <v>811</v>
      </c>
      <c r="L406" s="1"/>
      <c r="M406" s="1" t="s">
        <v>1221</v>
      </c>
      <c r="N406" s="6">
        <f>IFERROR(__xludf.DUMMYFUNCTION("IF(REGEXMATCH(A406, ""^00-""), 0, IF(AND(EQ(F406, """"), EQ(G406, """")), 1, 0))"),0.0)</f>
        <v>0</v>
      </c>
      <c r="O406" s="6">
        <f>IFERROR(__xludf.DUMMYFUNCTION("IF(REGEXMATCH(A406, ""^00-""), 0, IF(AND(NE(F406, """"), EQ(G406, """")), 1, 0))"),0.0)</f>
        <v>0</v>
      </c>
      <c r="P406" s="6">
        <f>IFERROR(__xludf.DUMMYFUNCTION("IF(REGEXMATCH(A406, ""^00-""), 0, IF(AND(EQ(F406, """"), NE(G406, """")), 1, 0))"),1.0)</f>
        <v>1</v>
      </c>
      <c r="Q406" s="6">
        <f>IFERROR(__xludf.DUMMYFUNCTION("IF(REGEXMATCH(A406, ""^00-""), 0, IF(AND(NE(F406, """"), NE(G406, """")), 1, 0))"),0.0)</f>
        <v>0</v>
      </c>
      <c r="R406" s="6">
        <f t="shared" si="1"/>
        <v>1</v>
      </c>
    </row>
    <row r="407">
      <c r="A407" s="1" t="s">
        <v>60</v>
      </c>
      <c r="B407" s="1" t="s">
        <v>1223</v>
      </c>
      <c r="C407" s="1">
        <v>54.0</v>
      </c>
      <c r="D407" s="1">
        <v>156.0</v>
      </c>
      <c r="E407" s="1">
        <v>210.0</v>
      </c>
      <c r="F407" s="1"/>
      <c r="G407" s="1" t="s">
        <v>1224</v>
      </c>
      <c r="H407" s="1" t="s">
        <v>269</v>
      </c>
      <c r="I407" s="1" t="s">
        <v>172</v>
      </c>
      <c r="J407" s="1" t="s">
        <v>1206</v>
      </c>
      <c r="K407" s="1" t="s">
        <v>811</v>
      </c>
      <c r="L407" s="1"/>
      <c r="M407" s="1" t="s">
        <v>1223</v>
      </c>
      <c r="N407" s="6">
        <f>IFERROR(__xludf.DUMMYFUNCTION("IF(REGEXMATCH(A407, ""^00-""), 0, IF(AND(EQ(F407, """"), EQ(G407, """")), 1, 0))"),0.0)</f>
        <v>0</v>
      </c>
      <c r="O407" s="6">
        <f>IFERROR(__xludf.DUMMYFUNCTION("IF(REGEXMATCH(A407, ""^00-""), 0, IF(AND(NE(F407, """"), EQ(G407, """")), 1, 0))"),0.0)</f>
        <v>0</v>
      </c>
      <c r="P407" s="6">
        <f>IFERROR(__xludf.DUMMYFUNCTION("IF(REGEXMATCH(A407, ""^00-""), 0, IF(AND(EQ(F407, """"), NE(G407, """")), 1, 0))"),1.0)</f>
        <v>1</v>
      </c>
      <c r="Q407" s="6">
        <f>IFERROR(__xludf.DUMMYFUNCTION("IF(REGEXMATCH(A407, ""^00-""), 0, IF(AND(NE(F407, """"), NE(G407, """")), 1, 0))"),0.0)</f>
        <v>0</v>
      </c>
      <c r="R407" s="6">
        <f t="shared" si="1"/>
        <v>1</v>
      </c>
    </row>
    <row r="408">
      <c r="A408" s="1" t="s">
        <v>62</v>
      </c>
      <c r="B408" s="1" t="s">
        <v>1225</v>
      </c>
      <c r="C408" s="1">
        <v>111.0</v>
      </c>
      <c r="D408" s="1">
        <v>0.0</v>
      </c>
      <c r="E408" s="1">
        <v>111.0</v>
      </c>
      <c r="F408" s="1" t="s">
        <v>1226</v>
      </c>
      <c r="G408" s="1" t="s">
        <v>1227</v>
      </c>
      <c r="H408" s="1" t="s">
        <v>182</v>
      </c>
      <c r="I408" s="1" t="s">
        <v>172</v>
      </c>
      <c r="J408" s="1" t="s">
        <v>1228</v>
      </c>
      <c r="K408" s="1" t="s">
        <v>811</v>
      </c>
      <c r="L408" s="1"/>
      <c r="M408" s="1" t="s">
        <v>185</v>
      </c>
      <c r="N408" s="6">
        <f>IFERROR(__xludf.DUMMYFUNCTION("IF(REGEXMATCH(A408, ""^00-""), 0, IF(AND(EQ(F408, """"), EQ(G408, """")), 1, 0))"),0.0)</f>
        <v>0</v>
      </c>
      <c r="O408" s="6">
        <f>IFERROR(__xludf.DUMMYFUNCTION("IF(REGEXMATCH(A408, ""^00-""), 0, IF(AND(NE(F408, """"), EQ(G408, """")), 1, 0))"),0.0)</f>
        <v>0</v>
      </c>
      <c r="P408" s="6">
        <f>IFERROR(__xludf.DUMMYFUNCTION("IF(REGEXMATCH(A408, ""^00-""), 0, IF(AND(EQ(F408, """"), NE(G408, """")), 1, 0))"),0.0)</f>
        <v>0</v>
      </c>
      <c r="Q408" s="6">
        <f>IFERROR(__xludf.DUMMYFUNCTION("IF(REGEXMATCH(A408, ""^00-""), 0, IF(AND(NE(F408, """"), NE(G408, """")), 1, 0))"),1.0)</f>
        <v>1</v>
      </c>
      <c r="R408" s="6">
        <f t="shared" si="1"/>
        <v>1</v>
      </c>
    </row>
    <row r="409">
      <c r="A409" s="1" t="s">
        <v>62</v>
      </c>
      <c r="B409" s="1" t="s">
        <v>1229</v>
      </c>
      <c r="C409" s="1">
        <v>12.0</v>
      </c>
      <c r="D409" s="1">
        <v>99.0</v>
      </c>
      <c r="E409" s="1">
        <v>111.0</v>
      </c>
      <c r="F409" s="1" t="s">
        <v>1230</v>
      </c>
      <c r="G409" s="1" t="s">
        <v>1231</v>
      </c>
      <c r="H409" s="1" t="s">
        <v>250</v>
      </c>
      <c r="I409" s="1" t="s">
        <v>172</v>
      </c>
      <c r="J409" s="1" t="s">
        <v>1228</v>
      </c>
      <c r="K409" s="1" t="s">
        <v>811</v>
      </c>
      <c r="L409" s="1"/>
      <c r="M409" s="1" t="s">
        <v>250</v>
      </c>
      <c r="N409" s="6">
        <f>IFERROR(__xludf.DUMMYFUNCTION("IF(REGEXMATCH(A409, ""^00-""), 0, IF(AND(EQ(F409, """"), EQ(G409, """")), 1, 0))"),0.0)</f>
        <v>0</v>
      </c>
      <c r="O409" s="6">
        <f>IFERROR(__xludf.DUMMYFUNCTION("IF(REGEXMATCH(A409, ""^00-""), 0, IF(AND(NE(F409, """"), EQ(G409, """")), 1, 0))"),0.0)</f>
        <v>0</v>
      </c>
      <c r="P409" s="6">
        <f>IFERROR(__xludf.DUMMYFUNCTION("IF(REGEXMATCH(A409, ""^00-""), 0, IF(AND(EQ(F409, """"), NE(G409, """")), 1, 0))"),0.0)</f>
        <v>0</v>
      </c>
      <c r="Q409" s="6">
        <f>IFERROR(__xludf.DUMMYFUNCTION("IF(REGEXMATCH(A409, ""^00-""), 0, IF(AND(NE(F409, """"), NE(G409, """")), 1, 0))"),1.0)</f>
        <v>1</v>
      </c>
      <c r="R409" s="6">
        <f t="shared" si="1"/>
        <v>1</v>
      </c>
    </row>
    <row r="410">
      <c r="A410" s="1" t="s">
        <v>62</v>
      </c>
      <c r="B410" s="1" t="s">
        <v>1232</v>
      </c>
      <c r="C410" s="1">
        <v>12.0</v>
      </c>
      <c r="D410" s="1">
        <v>99.0</v>
      </c>
      <c r="E410" s="1">
        <v>111.0</v>
      </c>
      <c r="F410" s="1" t="s">
        <v>1233</v>
      </c>
      <c r="G410" s="1" t="s">
        <v>1234</v>
      </c>
      <c r="H410" s="1" t="s">
        <v>254</v>
      </c>
      <c r="I410" s="1" t="s">
        <v>172</v>
      </c>
      <c r="J410" s="1" t="s">
        <v>1228</v>
      </c>
      <c r="K410" s="1" t="s">
        <v>811</v>
      </c>
      <c r="L410" s="1"/>
      <c r="M410" s="1" t="s">
        <v>254</v>
      </c>
      <c r="N410" s="6">
        <f>IFERROR(__xludf.DUMMYFUNCTION("IF(REGEXMATCH(A410, ""^00-""), 0, IF(AND(EQ(F410, """"), EQ(G410, """")), 1, 0))"),0.0)</f>
        <v>0</v>
      </c>
      <c r="O410" s="6">
        <f>IFERROR(__xludf.DUMMYFUNCTION("IF(REGEXMATCH(A410, ""^00-""), 0, IF(AND(NE(F410, """"), EQ(G410, """")), 1, 0))"),0.0)</f>
        <v>0</v>
      </c>
      <c r="P410" s="6">
        <f>IFERROR(__xludf.DUMMYFUNCTION("IF(REGEXMATCH(A410, ""^00-""), 0, IF(AND(EQ(F410, """"), NE(G410, """")), 1, 0))"),0.0)</f>
        <v>0</v>
      </c>
      <c r="Q410" s="6">
        <f>IFERROR(__xludf.DUMMYFUNCTION("IF(REGEXMATCH(A410, ""^00-""), 0, IF(AND(NE(F410, """"), NE(G410, """")), 1, 0))"),1.0)</f>
        <v>1</v>
      </c>
      <c r="R410" s="6">
        <f t="shared" si="1"/>
        <v>1</v>
      </c>
    </row>
    <row r="411">
      <c r="A411" s="1" t="s">
        <v>62</v>
      </c>
      <c r="B411" s="1" t="s">
        <v>1235</v>
      </c>
      <c r="C411" s="1">
        <v>11.0</v>
      </c>
      <c r="D411" s="1">
        <v>100.0</v>
      </c>
      <c r="E411" s="1">
        <v>111.0</v>
      </c>
      <c r="F411" s="1" t="s">
        <v>1236</v>
      </c>
      <c r="G411" s="1" t="s">
        <v>1237</v>
      </c>
      <c r="H411" s="1" t="s">
        <v>250</v>
      </c>
      <c r="I411" s="1" t="s">
        <v>172</v>
      </c>
      <c r="J411" s="1" t="s">
        <v>1228</v>
      </c>
      <c r="K411" s="1" t="s">
        <v>811</v>
      </c>
      <c r="L411" s="1"/>
      <c r="M411" s="1" t="s">
        <v>250</v>
      </c>
      <c r="N411" s="6">
        <f>IFERROR(__xludf.DUMMYFUNCTION("IF(REGEXMATCH(A411, ""^00-""), 0, IF(AND(EQ(F411, """"), EQ(G411, """")), 1, 0))"),0.0)</f>
        <v>0</v>
      </c>
      <c r="O411" s="6">
        <f>IFERROR(__xludf.DUMMYFUNCTION("IF(REGEXMATCH(A411, ""^00-""), 0, IF(AND(NE(F411, """"), EQ(G411, """")), 1, 0))"),0.0)</f>
        <v>0</v>
      </c>
      <c r="P411" s="6">
        <f>IFERROR(__xludf.DUMMYFUNCTION("IF(REGEXMATCH(A411, ""^00-""), 0, IF(AND(EQ(F411, """"), NE(G411, """")), 1, 0))"),0.0)</f>
        <v>0</v>
      </c>
      <c r="Q411" s="6">
        <f>IFERROR(__xludf.DUMMYFUNCTION("IF(REGEXMATCH(A411, ""^00-""), 0, IF(AND(NE(F411, """"), NE(G411, """")), 1, 0))"),1.0)</f>
        <v>1</v>
      </c>
      <c r="R411" s="6">
        <f t="shared" si="1"/>
        <v>1</v>
      </c>
    </row>
    <row r="412">
      <c r="A412" s="1" t="s">
        <v>62</v>
      </c>
      <c r="B412" s="1" t="s">
        <v>1238</v>
      </c>
      <c r="C412" s="1">
        <v>11.0</v>
      </c>
      <c r="D412" s="1">
        <v>100.0</v>
      </c>
      <c r="E412" s="1">
        <v>111.0</v>
      </c>
      <c r="F412" s="1" t="s">
        <v>1239</v>
      </c>
      <c r="G412" s="1" t="s">
        <v>1240</v>
      </c>
      <c r="H412" s="1" t="s">
        <v>254</v>
      </c>
      <c r="I412" s="1" t="s">
        <v>172</v>
      </c>
      <c r="J412" s="1" t="s">
        <v>1228</v>
      </c>
      <c r="K412" s="1" t="s">
        <v>811</v>
      </c>
      <c r="L412" s="1"/>
      <c r="M412" s="1" t="s">
        <v>254</v>
      </c>
      <c r="N412" s="6">
        <f>IFERROR(__xludf.DUMMYFUNCTION("IF(REGEXMATCH(A412, ""^00-""), 0, IF(AND(EQ(F412, """"), EQ(G412, """")), 1, 0))"),0.0)</f>
        <v>0</v>
      </c>
      <c r="O412" s="6">
        <f>IFERROR(__xludf.DUMMYFUNCTION("IF(REGEXMATCH(A412, ""^00-""), 0, IF(AND(NE(F412, """"), EQ(G412, """")), 1, 0))"),0.0)</f>
        <v>0</v>
      </c>
      <c r="P412" s="6">
        <f>IFERROR(__xludf.DUMMYFUNCTION("IF(REGEXMATCH(A412, ""^00-""), 0, IF(AND(EQ(F412, """"), NE(G412, """")), 1, 0))"),0.0)</f>
        <v>0</v>
      </c>
      <c r="Q412" s="6">
        <f>IFERROR(__xludf.DUMMYFUNCTION("IF(REGEXMATCH(A412, ""^00-""), 0, IF(AND(NE(F412, """"), NE(G412, """")), 1, 0))"),1.0)</f>
        <v>1</v>
      </c>
      <c r="R412" s="6">
        <f t="shared" si="1"/>
        <v>1</v>
      </c>
    </row>
    <row r="413">
      <c r="A413" s="1" t="s">
        <v>62</v>
      </c>
      <c r="B413" s="1" t="s">
        <v>1241</v>
      </c>
      <c r="C413" s="1">
        <v>12.0</v>
      </c>
      <c r="D413" s="1">
        <v>99.0</v>
      </c>
      <c r="E413" s="1">
        <v>111.0</v>
      </c>
      <c r="F413" s="1" t="s">
        <v>1242</v>
      </c>
      <c r="G413" s="1" t="s">
        <v>1243</v>
      </c>
      <c r="H413" s="1" t="s">
        <v>269</v>
      </c>
      <c r="I413" s="1" t="s">
        <v>172</v>
      </c>
      <c r="J413" s="1" t="s">
        <v>1228</v>
      </c>
      <c r="K413" s="1" t="s">
        <v>811</v>
      </c>
      <c r="L413" s="1"/>
      <c r="M413" s="1" t="s">
        <v>1244</v>
      </c>
      <c r="N413" s="6">
        <f>IFERROR(__xludf.DUMMYFUNCTION("IF(REGEXMATCH(A413, ""^00-""), 0, IF(AND(EQ(F413, """"), EQ(G413, """")), 1, 0))"),0.0)</f>
        <v>0</v>
      </c>
      <c r="O413" s="6">
        <f>IFERROR(__xludf.DUMMYFUNCTION("IF(REGEXMATCH(A413, ""^00-""), 0, IF(AND(NE(F413, """"), EQ(G413, """")), 1, 0))"),0.0)</f>
        <v>0</v>
      </c>
      <c r="P413" s="6">
        <f>IFERROR(__xludf.DUMMYFUNCTION("IF(REGEXMATCH(A413, ""^00-""), 0, IF(AND(EQ(F413, """"), NE(G413, """")), 1, 0))"),0.0)</f>
        <v>0</v>
      </c>
      <c r="Q413" s="6">
        <f>IFERROR(__xludf.DUMMYFUNCTION("IF(REGEXMATCH(A413, ""^00-""), 0, IF(AND(NE(F413, """"), NE(G413, """")), 1, 0))"),1.0)</f>
        <v>1</v>
      </c>
      <c r="R413" s="6">
        <f t="shared" si="1"/>
        <v>1</v>
      </c>
    </row>
    <row r="414">
      <c r="A414" s="1" t="s">
        <v>62</v>
      </c>
      <c r="B414" s="1" t="s">
        <v>1245</v>
      </c>
      <c r="C414" s="1">
        <v>12.0</v>
      </c>
      <c r="D414" s="1">
        <v>99.0</v>
      </c>
      <c r="E414" s="1">
        <v>111.0</v>
      </c>
      <c r="F414" s="1" t="s">
        <v>1246</v>
      </c>
      <c r="G414" s="1" t="s">
        <v>1247</v>
      </c>
      <c r="H414" s="1" t="s">
        <v>269</v>
      </c>
      <c r="I414" s="1" t="s">
        <v>172</v>
      </c>
      <c r="J414" s="1" t="s">
        <v>1228</v>
      </c>
      <c r="K414" s="1" t="s">
        <v>811</v>
      </c>
      <c r="L414" s="1"/>
      <c r="M414" s="1" t="s">
        <v>1248</v>
      </c>
      <c r="N414" s="6">
        <f>IFERROR(__xludf.DUMMYFUNCTION("IF(REGEXMATCH(A414, ""^00-""), 0, IF(AND(EQ(F414, """"), EQ(G414, """")), 1, 0))"),0.0)</f>
        <v>0</v>
      </c>
      <c r="O414" s="6">
        <f>IFERROR(__xludf.DUMMYFUNCTION("IF(REGEXMATCH(A414, ""^00-""), 0, IF(AND(NE(F414, """"), EQ(G414, """")), 1, 0))"),0.0)</f>
        <v>0</v>
      </c>
      <c r="P414" s="6">
        <f>IFERROR(__xludf.DUMMYFUNCTION("IF(REGEXMATCH(A414, ""^00-""), 0, IF(AND(EQ(F414, """"), NE(G414, """")), 1, 0))"),0.0)</f>
        <v>0</v>
      </c>
      <c r="Q414" s="6">
        <f>IFERROR(__xludf.DUMMYFUNCTION("IF(REGEXMATCH(A414, ""^00-""), 0, IF(AND(NE(F414, """"), NE(G414, """")), 1, 0))"),1.0)</f>
        <v>1</v>
      </c>
      <c r="R414" s="6">
        <f t="shared" si="1"/>
        <v>1</v>
      </c>
    </row>
    <row r="415">
      <c r="A415" s="1" t="s">
        <v>62</v>
      </c>
      <c r="B415" s="1" t="s">
        <v>1249</v>
      </c>
      <c r="C415" s="1">
        <v>12.0</v>
      </c>
      <c r="D415" s="1">
        <v>99.0</v>
      </c>
      <c r="E415" s="1">
        <v>111.0</v>
      </c>
      <c r="F415" s="1" t="s">
        <v>1250</v>
      </c>
      <c r="G415" s="1" t="s">
        <v>1251</v>
      </c>
      <c r="H415" s="1" t="s">
        <v>235</v>
      </c>
      <c r="I415" s="1" t="s">
        <v>172</v>
      </c>
      <c r="J415" s="1" t="s">
        <v>1228</v>
      </c>
      <c r="K415" s="1" t="s">
        <v>811</v>
      </c>
      <c r="L415" s="1"/>
      <c r="M415" s="1" t="s">
        <v>1252</v>
      </c>
      <c r="N415" s="6">
        <f>IFERROR(__xludf.DUMMYFUNCTION("IF(REGEXMATCH(A415, ""^00-""), 0, IF(AND(EQ(F415, """"), EQ(G415, """")), 1, 0))"),0.0)</f>
        <v>0</v>
      </c>
      <c r="O415" s="6">
        <f>IFERROR(__xludf.DUMMYFUNCTION("IF(REGEXMATCH(A415, ""^00-""), 0, IF(AND(NE(F415, """"), EQ(G415, """")), 1, 0))"),0.0)</f>
        <v>0</v>
      </c>
      <c r="P415" s="6">
        <f>IFERROR(__xludf.DUMMYFUNCTION("IF(REGEXMATCH(A415, ""^00-""), 0, IF(AND(EQ(F415, """"), NE(G415, """")), 1, 0))"),0.0)</f>
        <v>0</v>
      </c>
      <c r="Q415" s="6">
        <f>IFERROR(__xludf.DUMMYFUNCTION("IF(REGEXMATCH(A415, ""^00-""), 0, IF(AND(NE(F415, """"), NE(G415, """")), 1, 0))"),1.0)</f>
        <v>1</v>
      </c>
      <c r="R415" s="6">
        <f t="shared" si="1"/>
        <v>1</v>
      </c>
    </row>
    <row r="416">
      <c r="A416" s="1" t="s">
        <v>62</v>
      </c>
      <c r="B416" s="1" t="s">
        <v>1253</v>
      </c>
      <c r="C416" s="1">
        <v>10.0</v>
      </c>
      <c r="D416" s="1">
        <v>101.0</v>
      </c>
      <c r="E416" s="1">
        <v>111.0</v>
      </c>
      <c r="F416" s="1" t="s">
        <v>1254</v>
      </c>
      <c r="G416" s="1" t="s">
        <v>1255</v>
      </c>
      <c r="H416" s="1" t="s">
        <v>171</v>
      </c>
      <c r="I416" s="1" t="s">
        <v>172</v>
      </c>
      <c r="J416" s="1" t="s">
        <v>1228</v>
      </c>
      <c r="K416" s="1" t="s">
        <v>811</v>
      </c>
      <c r="L416" s="1"/>
      <c r="M416" s="1" t="s">
        <v>171</v>
      </c>
      <c r="N416" s="6">
        <f>IFERROR(__xludf.DUMMYFUNCTION("IF(REGEXMATCH(A416, ""^00-""), 0, IF(AND(EQ(F416, """"), EQ(G416, """")), 1, 0))"),0.0)</f>
        <v>0</v>
      </c>
      <c r="O416" s="6">
        <f>IFERROR(__xludf.DUMMYFUNCTION("IF(REGEXMATCH(A416, ""^00-""), 0, IF(AND(NE(F416, """"), EQ(G416, """")), 1, 0))"),0.0)</f>
        <v>0</v>
      </c>
      <c r="P416" s="6">
        <f>IFERROR(__xludf.DUMMYFUNCTION("IF(REGEXMATCH(A416, ""^00-""), 0, IF(AND(EQ(F416, """"), NE(G416, """")), 1, 0))"),0.0)</f>
        <v>0</v>
      </c>
      <c r="Q416" s="6">
        <f>IFERROR(__xludf.DUMMYFUNCTION("IF(REGEXMATCH(A416, ""^00-""), 0, IF(AND(NE(F416, """"), NE(G416, """")), 1, 0))"),1.0)</f>
        <v>1</v>
      </c>
      <c r="R416" s="6">
        <f t="shared" si="1"/>
        <v>1</v>
      </c>
    </row>
    <row r="417">
      <c r="A417" s="1" t="s">
        <v>62</v>
      </c>
      <c r="B417" s="1" t="s">
        <v>1256</v>
      </c>
      <c r="C417" s="1">
        <v>8.0</v>
      </c>
      <c r="D417" s="1">
        <v>103.0</v>
      </c>
      <c r="E417" s="1">
        <v>111.0</v>
      </c>
      <c r="F417" s="1" t="s">
        <v>1257</v>
      </c>
      <c r="G417" s="1" t="s">
        <v>1258</v>
      </c>
      <c r="H417" s="1" t="s">
        <v>250</v>
      </c>
      <c r="I417" s="1" t="s">
        <v>172</v>
      </c>
      <c r="J417" s="1" t="s">
        <v>1228</v>
      </c>
      <c r="K417" s="1" t="s">
        <v>811</v>
      </c>
      <c r="L417" s="1"/>
      <c r="M417" s="1" t="s">
        <v>250</v>
      </c>
      <c r="N417" s="6">
        <f>IFERROR(__xludf.DUMMYFUNCTION("IF(REGEXMATCH(A417, ""^00-""), 0, IF(AND(EQ(F417, """"), EQ(G417, """")), 1, 0))"),0.0)</f>
        <v>0</v>
      </c>
      <c r="O417" s="6">
        <f>IFERROR(__xludf.DUMMYFUNCTION("IF(REGEXMATCH(A417, ""^00-""), 0, IF(AND(NE(F417, """"), EQ(G417, """")), 1, 0))"),0.0)</f>
        <v>0</v>
      </c>
      <c r="P417" s="6">
        <f>IFERROR(__xludf.DUMMYFUNCTION("IF(REGEXMATCH(A417, ""^00-""), 0, IF(AND(EQ(F417, """"), NE(G417, """")), 1, 0))"),0.0)</f>
        <v>0</v>
      </c>
      <c r="Q417" s="6">
        <f>IFERROR(__xludf.DUMMYFUNCTION("IF(REGEXMATCH(A417, ""^00-""), 0, IF(AND(NE(F417, """"), NE(G417, """")), 1, 0))"),1.0)</f>
        <v>1</v>
      </c>
      <c r="R417" s="6">
        <f t="shared" si="1"/>
        <v>1</v>
      </c>
    </row>
    <row r="418">
      <c r="A418" s="1" t="s">
        <v>62</v>
      </c>
      <c r="B418" s="1" t="s">
        <v>1259</v>
      </c>
      <c r="C418" s="1">
        <v>8.0</v>
      </c>
      <c r="D418" s="1">
        <v>103.0</v>
      </c>
      <c r="E418" s="1">
        <v>111.0</v>
      </c>
      <c r="F418" s="1" t="s">
        <v>1260</v>
      </c>
      <c r="G418" s="1" t="s">
        <v>1261</v>
      </c>
      <c r="H418" s="1" t="s">
        <v>254</v>
      </c>
      <c r="I418" s="1" t="s">
        <v>172</v>
      </c>
      <c r="J418" s="1" t="s">
        <v>1228</v>
      </c>
      <c r="K418" s="1" t="s">
        <v>811</v>
      </c>
      <c r="L418" s="1"/>
      <c r="M418" s="1" t="s">
        <v>254</v>
      </c>
      <c r="N418" s="6">
        <f>IFERROR(__xludf.DUMMYFUNCTION("IF(REGEXMATCH(A418, ""^00-""), 0, IF(AND(EQ(F418, """"), EQ(G418, """")), 1, 0))"),0.0)</f>
        <v>0</v>
      </c>
      <c r="O418" s="6">
        <f>IFERROR(__xludf.DUMMYFUNCTION("IF(REGEXMATCH(A418, ""^00-""), 0, IF(AND(NE(F418, """"), EQ(G418, """")), 1, 0))"),0.0)</f>
        <v>0</v>
      </c>
      <c r="P418" s="6">
        <f>IFERROR(__xludf.DUMMYFUNCTION("IF(REGEXMATCH(A418, ""^00-""), 0, IF(AND(EQ(F418, """"), NE(G418, """")), 1, 0))"),0.0)</f>
        <v>0</v>
      </c>
      <c r="Q418" s="6">
        <f>IFERROR(__xludf.DUMMYFUNCTION("IF(REGEXMATCH(A418, ""^00-""), 0, IF(AND(NE(F418, """"), NE(G418, """")), 1, 0))"),1.0)</f>
        <v>1</v>
      </c>
      <c r="R418" s="6">
        <f t="shared" si="1"/>
        <v>1</v>
      </c>
    </row>
    <row r="419">
      <c r="A419" s="1" t="s">
        <v>62</v>
      </c>
      <c r="B419" s="1" t="s">
        <v>1262</v>
      </c>
      <c r="C419" s="1">
        <v>5.0</v>
      </c>
      <c r="D419" s="1">
        <v>106.0</v>
      </c>
      <c r="E419" s="1">
        <v>111.0</v>
      </c>
      <c r="F419" s="1" t="s">
        <v>1263</v>
      </c>
      <c r="G419" s="1" t="s">
        <v>1264</v>
      </c>
      <c r="H419" s="1" t="s">
        <v>250</v>
      </c>
      <c r="I419" s="1" t="s">
        <v>172</v>
      </c>
      <c r="J419" s="1" t="s">
        <v>1228</v>
      </c>
      <c r="K419" s="1" t="s">
        <v>811</v>
      </c>
      <c r="L419" s="1"/>
      <c r="M419" s="1" t="s">
        <v>250</v>
      </c>
      <c r="N419" s="6">
        <f>IFERROR(__xludf.DUMMYFUNCTION("IF(REGEXMATCH(A419, ""^00-""), 0, IF(AND(EQ(F419, """"), EQ(G419, """")), 1, 0))"),0.0)</f>
        <v>0</v>
      </c>
      <c r="O419" s="6">
        <f>IFERROR(__xludf.DUMMYFUNCTION("IF(REGEXMATCH(A419, ""^00-""), 0, IF(AND(NE(F419, """"), EQ(G419, """")), 1, 0))"),0.0)</f>
        <v>0</v>
      </c>
      <c r="P419" s="6">
        <f>IFERROR(__xludf.DUMMYFUNCTION("IF(REGEXMATCH(A419, ""^00-""), 0, IF(AND(EQ(F419, """"), NE(G419, """")), 1, 0))"),0.0)</f>
        <v>0</v>
      </c>
      <c r="Q419" s="6">
        <f>IFERROR(__xludf.DUMMYFUNCTION("IF(REGEXMATCH(A419, ""^00-""), 0, IF(AND(NE(F419, """"), NE(G419, """")), 1, 0))"),1.0)</f>
        <v>1</v>
      </c>
      <c r="R419" s="6">
        <f t="shared" si="1"/>
        <v>1</v>
      </c>
    </row>
    <row r="420">
      <c r="A420" s="1" t="s">
        <v>62</v>
      </c>
      <c r="B420" s="1" t="s">
        <v>1265</v>
      </c>
      <c r="C420" s="1">
        <v>5.0</v>
      </c>
      <c r="D420" s="1">
        <v>106.0</v>
      </c>
      <c r="E420" s="1">
        <v>111.0</v>
      </c>
      <c r="F420" s="1" t="s">
        <v>1266</v>
      </c>
      <c r="G420" s="1" t="s">
        <v>1267</v>
      </c>
      <c r="H420" s="1" t="s">
        <v>254</v>
      </c>
      <c r="I420" s="1" t="s">
        <v>172</v>
      </c>
      <c r="J420" s="1" t="s">
        <v>1228</v>
      </c>
      <c r="K420" s="1" t="s">
        <v>811</v>
      </c>
      <c r="L420" s="1"/>
      <c r="M420" s="1" t="s">
        <v>254</v>
      </c>
      <c r="N420" s="6">
        <f>IFERROR(__xludf.DUMMYFUNCTION("IF(REGEXMATCH(A420, ""^00-""), 0, IF(AND(EQ(F420, """"), EQ(G420, """")), 1, 0))"),0.0)</f>
        <v>0</v>
      </c>
      <c r="O420" s="6">
        <f>IFERROR(__xludf.DUMMYFUNCTION("IF(REGEXMATCH(A420, ""^00-""), 0, IF(AND(NE(F420, """"), EQ(G420, """")), 1, 0))"),0.0)</f>
        <v>0</v>
      </c>
      <c r="P420" s="6">
        <f>IFERROR(__xludf.DUMMYFUNCTION("IF(REGEXMATCH(A420, ""^00-""), 0, IF(AND(EQ(F420, """"), NE(G420, """")), 1, 0))"),0.0)</f>
        <v>0</v>
      </c>
      <c r="Q420" s="6">
        <f>IFERROR(__xludf.DUMMYFUNCTION("IF(REGEXMATCH(A420, ""^00-""), 0, IF(AND(NE(F420, """"), NE(G420, """")), 1, 0))"),1.0)</f>
        <v>1</v>
      </c>
      <c r="R420" s="6">
        <f t="shared" si="1"/>
        <v>1</v>
      </c>
    </row>
    <row r="421">
      <c r="A421" s="1" t="s">
        <v>62</v>
      </c>
      <c r="B421" s="1" t="s">
        <v>1268</v>
      </c>
      <c r="C421" s="1">
        <v>8.0</v>
      </c>
      <c r="D421" s="1">
        <v>103.0</v>
      </c>
      <c r="E421" s="1">
        <v>111.0</v>
      </c>
      <c r="F421" s="1" t="s">
        <v>1269</v>
      </c>
      <c r="G421" s="1" t="s">
        <v>1270</v>
      </c>
      <c r="H421" s="1" t="s">
        <v>269</v>
      </c>
      <c r="I421" s="1" t="s">
        <v>172</v>
      </c>
      <c r="J421" s="1" t="s">
        <v>1228</v>
      </c>
      <c r="K421" s="1" t="s">
        <v>811</v>
      </c>
      <c r="L421" s="1"/>
      <c r="M421" s="1" t="s">
        <v>1244</v>
      </c>
      <c r="N421" s="6">
        <f>IFERROR(__xludf.DUMMYFUNCTION("IF(REGEXMATCH(A421, ""^00-""), 0, IF(AND(EQ(F421, """"), EQ(G421, """")), 1, 0))"),0.0)</f>
        <v>0</v>
      </c>
      <c r="O421" s="6">
        <f>IFERROR(__xludf.DUMMYFUNCTION("IF(REGEXMATCH(A421, ""^00-""), 0, IF(AND(NE(F421, """"), EQ(G421, """")), 1, 0))"),0.0)</f>
        <v>0</v>
      </c>
      <c r="P421" s="6">
        <f>IFERROR(__xludf.DUMMYFUNCTION("IF(REGEXMATCH(A421, ""^00-""), 0, IF(AND(EQ(F421, """"), NE(G421, """")), 1, 0))"),0.0)</f>
        <v>0</v>
      </c>
      <c r="Q421" s="6">
        <f>IFERROR(__xludf.DUMMYFUNCTION("IF(REGEXMATCH(A421, ""^00-""), 0, IF(AND(NE(F421, """"), NE(G421, """")), 1, 0))"),1.0)</f>
        <v>1</v>
      </c>
      <c r="R421" s="6">
        <f t="shared" si="1"/>
        <v>1</v>
      </c>
    </row>
    <row r="422">
      <c r="A422" s="1" t="s">
        <v>62</v>
      </c>
      <c r="B422" s="1" t="s">
        <v>1271</v>
      </c>
      <c r="C422" s="1">
        <v>7.0</v>
      </c>
      <c r="D422" s="1">
        <v>104.0</v>
      </c>
      <c r="E422" s="1">
        <v>111.0</v>
      </c>
      <c r="F422" s="1" t="s">
        <v>1272</v>
      </c>
      <c r="G422" s="1" t="s">
        <v>1273</v>
      </c>
      <c r="H422" s="1" t="s">
        <v>269</v>
      </c>
      <c r="I422" s="1" t="s">
        <v>172</v>
      </c>
      <c r="J422" s="1" t="s">
        <v>1228</v>
      </c>
      <c r="K422" s="1" t="s">
        <v>811</v>
      </c>
      <c r="L422" s="1"/>
      <c r="M422" s="1" t="s">
        <v>1248</v>
      </c>
      <c r="N422" s="6">
        <f>IFERROR(__xludf.DUMMYFUNCTION("IF(REGEXMATCH(A422, ""^00-""), 0, IF(AND(EQ(F422, """"), EQ(G422, """")), 1, 0))"),0.0)</f>
        <v>0</v>
      </c>
      <c r="O422" s="6">
        <f>IFERROR(__xludf.DUMMYFUNCTION("IF(REGEXMATCH(A422, ""^00-""), 0, IF(AND(NE(F422, """"), EQ(G422, """")), 1, 0))"),0.0)</f>
        <v>0</v>
      </c>
      <c r="P422" s="6">
        <f>IFERROR(__xludf.DUMMYFUNCTION("IF(REGEXMATCH(A422, ""^00-""), 0, IF(AND(EQ(F422, """"), NE(G422, """")), 1, 0))"),0.0)</f>
        <v>0</v>
      </c>
      <c r="Q422" s="6">
        <f>IFERROR(__xludf.DUMMYFUNCTION("IF(REGEXMATCH(A422, ""^00-""), 0, IF(AND(NE(F422, """"), NE(G422, """")), 1, 0))"),1.0)</f>
        <v>1</v>
      </c>
      <c r="R422" s="6">
        <f t="shared" si="1"/>
        <v>1</v>
      </c>
    </row>
    <row r="423">
      <c r="A423" s="1" t="s">
        <v>62</v>
      </c>
      <c r="B423" s="1" t="s">
        <v>1274</v>
      </c>
      <c r="C423" s="1">
        <v>8.0</v>
      </c>
      <c r="D423" s="1">
        <v>103.0</v>
      </c>
      <c r="E423" s="1">
        <v>111.0</v>
      </c>
      <c r="F423" s="1" t="s">
        <v>1275</v>
      </c>
      <c r="G423" s="1" t="s">
        <v>1276</v>
      </c>
      <c r="H423" s="1" t="s">
        <v>235</v>
      </c>
      <c r="I423" s="1" t="s">
        <v>172</v>
      </c>
      <c r="J423" s="1" t="s">
        <v>1228</v>
      </c>
      <c r="K423" s="1" t="s">
        <v>811</v>
      </c>
      <c r="L423" s="1"/>
      <c r="M423" s="1" t="s">
        <v>1252</v>
      </c>
      <c r="N423" s="6">
        <f>IFERROR(__xludf.DUMMYFUNCTION("IF(REGEXMATCH(A423, ""^00-""), 0, IF(AND(EQ(F423, """"), EQ(G423, """")), 1, 0))"),0.0)</f>
        <v>0</v>
      </c>
      <c r="O423" s="6">
        <f>IFERROR(__xludf.DUMMYFUNCTION("IF(REGEXMATCH(A423, ""^00-""), 0, IF(AND(NE(F423, """"), EQ(G423, """")), 1, 0))"),0.0)</f>
        <v>0</v>
      </c>
      <c r="P423" s="6">
        <f>IFERROR(__xludf.DUMMYFUNCTION("IF(REGEXMATCH(A423, ""^00-""), 0, IF(AND(EQ(F423, """"), NE(G423, """")), 1, 0))"),0.0)</f>
        <v>0</v>
      </c>
      <c r="Q423" s="6">
        <f>IFERROR(__xludf.DUMMYFUNCTION("IF(REGEXMATCH(A423, ""^00-""), 0, IF(AND(NE(F423, """"), NE(G423, """")), 1, 0))"),1.0)</f>
        <v>1</v>
      </c>
      <c r="R423" s="6">
        <f t="shared" si="1"/>
        <v>1</v>
      </c>
    </row>
    <row r="424">
      <c r="A424" s="1" t="s">
        <v>62</v>
      </c>
      <c r="B424" s="1" t="s">
        <v>1277</v>
      </c>
      <c r="C424" s="1">
        <v>6.0</v>
      </c>
      <c r="D424" s="1">
        <v>105.0</v>
      </c>
      <c r="E424" s="1">
        <v>111.0</v>
      </c>
      <c r="F424" s="1" t="s">
        <v>1278</v>
      </c>
      <c r="G424" s="1" t="s">
        <v>1279</v>
      </c>
      <c r="H424" s="1" t="s">
        <v>171</v>
      </c>
      <c r="I424" s="1" t="s">
        <v>172</v>
      </c>
      <c r="J424" s="1" t="s">
        <v>1228</v>
      </c>
      <c r="K424" s="1" t="s">
        <v>811</v>
      </c>
      <c r="L424" s="1"/>
      <c r="M424" s="1" t="s">
        <v>171</v>
      </c>
      <c r="N424" s="6">
        <f>IFERROR(__xludf.DUMMYFUNCTION("IF(REGEXMATCH(A424, ""^00-""), 0, IF(AND(EQ(F424, """"), EQ(G424, """")), 1, 0))"),0.0)</f>
        <v>0</v>
      </c>
      <c r="O424" s="6">
        <f>IFERROR(__xludf.DUMMYFUNCTION("IF(REGEXMATCH(A424, ""^00-""), 0, IF(AND(NE(F424, """"), EQ(G424, """")), 1, 0))"),0.0)</f>
        <v>0</v>
      </c>
      <c r="P424" s="6">
        <f>IFERROR(__xludf.DUMMYFUNCTION("IF(REGEXMATCH(A424, ""^00-""), 0, IF(AND(EQ(F424, """"), NE(G424, """")), 1, 0))"),0.0)</f>
        <v>0</v>
      </c>
      <c r="Q424" s="6">
        <f>IFERROR(__xludf.DUMMYFUNCTION("IF(REGEXMATCH(A424, ""^00-""), 0, IF(AND(NE(F424, """"), NE(G424, """")), 1, 0))"),1.0)</f>
        <v>1</v>
      </c>
      <c r="R424" s="6">
        <f t="shared" si="1"/>
        <v>1</v>
      </c>
    </row>
    <row r="425">
      <c r="A425" s="1" t="s">
        <v>62</v>
      </c>
      <c r="B425" s="1" t="s">
        <v>1280</v>
      </c>
      <c r="C425" s="1">
        <v>1.0</v>
      </c>
      <c r="D425" s="1">
        <v>110.0</v>
      </c>
      <c r="E425" s="1">
        <v>111.0</v>
      </c>
      <c r="F425" s="1" t="s">
        <v>1281</v>
      </c>
      <c r="G425" s="1" t="s">
        <v>1282</v>
      </c>
      <c r="H425" s="1" t="s">
        <v>250</v>
      </c>
      <c r="I425" s="1" t="s">
        <v>172</v>
      </c>
      <c r="J425" s="1" t="s">
        <v>1228</v>
      </c>
      <c r="K425" s="1" t="s">
        <v>811</v>
      </c>
      <c r="L425" s="1"/>
      <c r="M425" s="1" t="s">
        <v>250</v>
      </c>
      <c r="N425" s="6">
        <f>IFERROR(__xludf.DUMMYFUNCTION("IF(REGEXMATCH(A425, ""^00-""), 0, IF(AND(EQ(F425, """"), EQ(G425, """")), 1, 0))"),0.0)</f>
        <v>0</v>
      </c>
      <c r="O425" s="6">
        <f>IFERROR(__xludf.DUMMYFUNCTION("IF(REGEXMATCH(A425, ""^00-""), 0, IF(AND(NE(F425, """"), EQ(G425, """")), 1, 0))"),0.0)</f>
        <v>0</v>
      </c>
      <c r="P425" s="6">
        <f>IFERROR(__xludf.DUMMYFUNCTION("IF(REGEXMATCH(A425, ""^00-""), 0, IF(AND(EQ(F425, """"), NE(G425, """")), 1, 0))"),0.0)</f>
        <v>0</v>
      </c>
      <c r="Q425" s="6">
        <f>IFERROR(__xludf.DUMMYFUNCTION("IF(REGEXMATCH(A425, ""^00-""), 0, IF(AND(NE(F425, """"), NE(G425, """")), 1, 0))"),1.0)</f>
        <v>1</v>
      </c>
      <c r="R425" s="6">
        <f t="shared" si="1"/>
        <v>1</v>
      </c>
    </row>
    <row r="426">
      <c r="A426" s="1" t="s">
        <v>62</v>
      </c>
      <c r="B426" s="1" t="s">
        <v>1283</v>
      </c>
      <c r="C426" s="1">
        <v>1.0</v>
      </c>
      <c r="D426" s="1">
        <v>110.0</v>
      </c>
      <c r="E426" s="1">
        <v>111.0</v>
      </c>
      <c r="F426" s="1" t="s">
        <v>1284</v>
      </c>
      <c r="G426" s="1" t="s">
        <v>1285</v>
      </c>
      <c r="H426" s="1" t="s">
        <v>254</v>
      </c>
      <c r="I426" s="1" t="s">
        <v>172</v>
      </c>
      <c r="J426" s="1" t="s">
        <v>1228</v>
      </c>
      <c r="K426" s="1" t="s">
        <v>811</v>
      </c>
      <c r="L426" s="1"/>
      <c r="M426" s="1" t="s">
        <v>254</v>
      </c>
      <c r="N426" s="6">
        <f>IFERROR(__xludf.DUMMYFUNCTION("IF(REGEXMATCH(A426, ""^00-""), 0, IF(AND(EQ(F426, """"), EQ(G426, """")), 1, 0))"),0.0)</f>
        <v>0</v>
      </c>
      <c r="O426" s="6">
        <f>IFERROR(__xludf.DUMMYFUNCTION("IF(REGEXMATCH(A426, ""^00-""), 0, IF(AND(NE(F426, """"), EQ(G426, """")), 1, 0))"),0.0)</f>
        <v>0</v>
      </c>
      <c r="P426" s="6">
        <f>IFERROR(__xludf.DUMMYFUNCTION("IF(REGEXMATCH(A426, ""^00-""), 0, IF(AND(EQ(F426, """"), NE(G426, """")), 1, 0))"),0.0)</f>
        <v>0</v>
      </c>
      <c r="Q426" s="6">
        <f>IFERROR(__xludf.DUMMYFUNCTION("IF(REGEXMATCH(A426, ""^00-""), 0, IF(AND(NE(F426, """"), NE(G426, """")), 1, 0))"),1.0)</f>
        <v>1</v>
      </c>
      <c r="R426" s="6">
        <f t="shared" si="1"/>
        <v>1</v>
      </c>
    </row>
    <row r="427">
      <c r="A427" s="1" t="s">
        <v>62</v>
      </c>
      <c r="B427" s="1" t="s">
        <v>1286</v>
      </c>
      <c r="C427" s="1">
        <v>0.0</v>
      </c>
      <c r="D427" s="1">
        <v>111.0</v>
      </c>
      <c r="E427" s="1">
        <v>111.0</v>
      </c>
      <c r="F427" s="1" t="s">
        <v>1287</v>
      </c>
      <c r="G427" s="1" t="s">
        <v>1288</v>
      </c>
      <c r="H427" s="1" t="s">
        <v>250</v>
      </c>
      <c r="I427" s="1" t="s">
        <v>172</v>
      </c>
      <c r="J427" s="1" t="s">
        <v>1228</v>
      </c>
      <c r="K427" s="1" t="s">
        <v>811</v>
      </c>
      <c r="L427" s="1"/>
      <c r="M427" s="1" t="s">
        <v>250</v>
      </c>
      <c r="N427" s="6">
        <f>IFERROR(__xludf.DUMMYFUNCTION("IF(REGEXMATCH(A427, ""^00-""), 0, IF(AND(EQ(F427, """"), EQ(G427, """")), 1, 0))"),0.0)</f>
        <v>0</v>
      </c>
      <c r="O427" s="6">
        <f>IFERROR(__xludf.DUMMYFUNCTION("IF(REGEXMATCH(A427, ""^00-""), 0, IF(AND(NE(F427, """"), EQ(G427, """")), 1, 0))"),0.0)</f>
        <v>0</v>
      </c>
      <c r="P427" s="6">
        <f>IFERROR(__xludf.DUMMYFUNCTION("IF(REGEXMATCH(A427, ""^00-""), 0, IF(AND(EQ(F427, """"), NE(G427, """")), 1, 0))"),0.0)</f>
        <v>0</v>
      </c>
      <c r="Q427" s="6">
        <f>IFERROR(__xludf.DUMMYFUNCTION("IF(REGEXMATCH(A427, ""^00-""), 0, IF(AND(NE(F427, """"), NE(G427, """")), 1, 0))"),1.0)</f>
        <v>1</v>
      </c>
      <c r="R427" s="6">
        <f t="shared" si="1"/>
        <v>1</v>
      </c>
    </row>
    <row r="428">
      <c r="A428" s="1" t="s">
        <v>62</v>
      </c>
      <c r="B428" s="1" t="s">
        <v>1289</v>
      </c>
      <c r="C428" s="1">
        <v>0.0</v>
      </c>
      <c r="D428" s="1">
        <v>111.0</v>
      </c>
      <c r="E428" s="1">
        <v>111.0</v>
      </c>
      <c r="F428" s="1" t="s">
        <v>1290</v>
      </c>
      <c r="G428" s="1" t="s">
        <v>1291</v>
      </c>
      <c r="H428" s="1" t="s">
        <v>254</v>
      </c>
      <c r="I428" s="1" t="s">
        <v>172</v>
      </c>
      <c r="J428" s="1" t="s">
        <v>1228</v>
      </c>
      <c r="K428" s="1" t="s">
        <v>811</v>
      </c>
      <c r="L428" s="1"/>
      <c r="M428" s="1" t="s">
        <v>254</v>
      </c>
      <c r="N428" s="6">
        <f>IFERROR(__xludf.DUMMYFUNCTION("IF(REGEXMATCH(A428, ""^00-""), 0, IF(AND(EQ(F428, """"), EQ(G428, """")), 1, 0))"),0.0)</f>
        <v>0</v>
      </c>
      <c r="O428" s="6">
        <f>IFERROR(__xludf.DUMMYFUNCTION("IF(REGEXMATCH(A428, ""^00-""), 0, IF(AND(NE(F428, """"), EQ(G428, """")), 1, 0))"),0.0)</f>
        <v>0</v>
      </c>
      <c r="P428" s="6">
        <f>IFERROR(__xludf.DUMMYFUNCTION("IF(REGEXMATCH(A428, ""^00-""), 0, IF(AND(EQ(F428, """"), NE(G428, """")), 1, 0))"),0.0)</f>
        <v>0</v>
      </c>
      <c r="Q428" s="6">
        <f>IFERROR(__xludf.DUMMYFUNCTION("IF(REGEXMATCH(A428, ""^00-""), 0, IF(AND(NE(F428, """"), NE(G428, """")), 1, 0))"),1.0)</f>
        <v>1</v>
      </c>
      <c r="R428" s="6">
        <f t="shared" si="1"/>
        <v>1</v>
      </c>
    </row>
    <row r="429">
      <c r="A429" s="1" t="s">
        <v>62</v>
      </c>
      <c r="B429" s="1" t="s">
        <v>1292</v>
      </c>
      <c r="C429" s="1">
        <v>1.0</v>
      </c>
      <c r="D429" s="1">
        <v>110.0</v>
      </c>
      <c r="E429" s="1">
        <v>111.0</v>
      </c>
      <c r="F429" s="1" t="s">
        <v>1293</v>
      </c>
      <c r="G429" s="1" t="s">
        <v>1294</v>
      </c>
      <c r="H429" s="1" t="s">
        <v>269</v>
      </c>
      <c r="I429" s="1" t="s">
        <v>172</v>
      </c>
      <c r="J429" s="1" t="s">
        <v>1228</v>
      </c>
      <c r="K429" s="1" t="s">
        <v>811</v>
      </c>
      <c r="L429" s="1"/>
      <c r="M429" s="1" t="s">
        <v>1244</v>
      </c>
      <c r="N429" s="6">
        <f>IFERROR(__xludf.DUMMYFUNCTION("IF(REGEXMATCH(A429, ""^00-""), 0, IF(AND(EQ(F429, """"), EQ(G429, """")), 1, 0))"),0.0)</f>
        <v>0</v>
      </c>
      <c r="O429" s="6">
        <f>IFERROR(__xludf.DUMMYFUNCTION("IF(REGEXMATCH(A429, ""^00-""), 0, IF(AND(NE(F429, """"), EQ(G429, """")), 1, 0))"),0.0)</f>
        <v>0</v>
      </c>
      <c r="P429" s="6">
        <f>IFERROR(__xludf.DUMMYFUNCTION("IF(REGEXMATCH(A429, ""^00-""), 0, IF(AND(EQ(F429, """"), NE(G429, """")), 1, 0))"),0.0)</f>
        <v>0</v>
      </c>
      <c r="Q429" s="6">
        <f>IFERROR(__xludf.DUMMYFUNCTION("IF(REGEXMATCH(A429, ""^00-""), 0, IF(AND(NE(F429, """"), NE(G429, """")), 1, 0))"),1.0)</f>
        <v>1</v>
      </c>
      <c r="R429" s="6">
        <f t="shared" si="1"/>
        <v>1</v>
      </c>
    </row>
    <row r="430">
      <c r="A430" s="1" t="s">
        <v>62</v>
      </c>
      <c r="B430" s="1" t="s">
        <v>1295</v>
      </c>
      <c r="C430" s="1">
        <v>1.0</v>
      </c>
      <c r="D430" s="1">
        <v>110.0</v>
      </c>
      <c r="E430" s="1">
        <v>111.0</v>
      </c>
      <c r="F430" s="1" t="s">
        <v>1296</v>
      </c>
      <c r="G430" s="1" t="s">
        <v>1297</v>
      </c>
      <c r="H430" s="1" t="s">
        <v>269</v>
      </c>
      <c r="I430" s="1" t="s">
        <v>172</v>
      </c>
      <c r="J430" s="1" t="s">
        <v>1228</v>
      </c>
      <c r="K430" s="1" t="s">
        <v>811</v>
      </c>
      <c r="L430" s="1"/>
      <c r="M430" s="1" t="s">
        <v>1248</v>
      </c>
      <c r="N430" s="6">
        <f>IFERROR(__xludf.DUMMYFUNCTION("IF(REGEXMATCH(A430, ""^00-""), 0, IF(AND(EQ(F430, """"), EQ(G430, """")), 1, 0))"),0.0)</f>
        <v>0</v>
      </c>
      <c r="O430" s="6">
        <f>IFERROR(__xludf.DUMMYFUNCTION("IF(REGEXMATCH(A430, ""^00-""), 0, IF(AND(NE(F430, """"), EQ(G430, """")), 1, 0))"),0.0)</f>
        <v>0</v>
      </c>
      <c r="P430" s="6">
        <f>IFERROR(__xludf.DUMMYFUNCTION("IF(REGEXMATCH(A430, ""^00-""), 0, IF(AND(EQ(F430, """"), NE(G430, """")), 1, 0))"),0.0)</f>
        <v>0</v>
      </c>
      <c r="Q430" s="6">
        <f>IFERROR(__xludf.DUMMYFUNCTION("IF(REGEXMATCH(A430, ""^00-""), 0, IF(AND(NE(F430, """"), NE(G430, """")), 1, 0))"),1.0)</f>
        <v>1</v>
      </c>
      <c r="R430" s="6">
        <f t="shared" si="1"/>
        <v>1</v>
      </c>
    </row>
    <row r="431">
      <c r="A431" s="1" t="s">
        <v>62</v>
      </c>
      <c r="B431" s="1" t="s">
        <v>1298</v>
      </c>
      <c r="C431" s="1">
        <v>1.0</v>
      </c>
      <c r="D431" s="1">
        <v>110.0</v>
      </c>
      <c r="E431" s="1">
        <v>111.0</v>
      </c>
      <c r="F431" s="1" t="s">
        <v>1299</v>
      </c>
      <c r="G431" s="1" t="s">
        <v>1300</v>
      </c>
      <c r="H431" s="1" t="s">
        <v>235</v>
      </c>
      <c r="I431" s="1" t="s">
        <v>172</v>
      </c>
      <c r="J431" s="1" t="s">
        <v>1228</v>
      </c>
      <c r="K431" s="1" t="s">
        <v>811</v>
      </c>
      <c r="L431" s="1"/>
      <c r="M431" s="1" t="s">
        <v>1252</v>
      </c>
      <c r="N431" s="6">
        <f>IFERROR(__xludf.DUMMYFUNCTION("IF(REGEXMATCH(A431, ""^00-""), 0, IF(AND(EQ(F431, """"), EQ(G431, """")), 1, 0))"),0.0)</f>
        <v>0</v>
      </c>
      <c r="O431" s="6">
        <f>IFERROR(__xludf.DUMMYFUNCTION("IF(REGEXMATCH(A431, ""^00-""), 0, IF(AND(NE(F431, """"), EQ(G431, """")), 1, 0))"),0.0)</f>
        <v>0</v>
      </c>
      <c r="P431" s="6">
        <f>IFERROR(__xludf.DUMMYFUNCTION("IF(REGEXMATCH(A431, ""^00-""), 0, IF(AND(EQ(F431, """"), NE(G431, """")), 1, 0))"),0.0)</f>
        <v>0</v>
      </c>
      <c r="Q431" s="6">
        <f>IFERROR(__xludf.DUMMYFUNCTION("IF(REGEXMATCH(A431, ""^00-""), 0, IF(AND(NE(F431, """"), NE(G431, """")), 1, 0))"),1.0)</f>
        <v>1</v>
      </c>
      <c r="R431" s="6">
        <f t="shared" si="1"/>
        <v>1</v>
      </c>
    </row>
    <row r="432">
      <c r="A432" s="1" t="s">
        <v>62</v>
      </c>
      <c r="B432" s="1" t="s">
        <v>1301</v>
      </c>
      <c r="C432" s="1">
        <v>1.0</v>
      </c>
      <c r="D432" s="1">
        <v>110.0</v>
      </c>
      <c r="E432" s="1">
        <v>111.0</v>
      </c>
      <c r="F432" s="1" t="s">
        <v>1302</v>
      </c>
      <c r="G432" s="1" t="s">
        <v>1303</v>
      </c>
      <c r="H432" s="1" t="s">
        <v>171</v>
      </c>
      <c r="I432" s="1" t="s">
        <v>172</v>
      </c>
      <c r="J432" s="1" t="s">
        <v>1228</v>
      </c>
      <c r="K432" s="1" t="s">
        <v>811</v>
      </c>
      <c r="L432" s="1"/>
      <c r="M432" s="1" t="s">
        <v>171</v>
      </c>
      <c r="N432" s="6">
        <f>IFERROR(__xludf.DUMMYFUNCTION("IF(REGEXMATCH(A432, ""^00-""), 0, IF(AND(EQ(F432, """"), EQ(G432, """")), 1, 0))"),0.0)</f>
        <v>0</v>
      </c>
      <c r="O432" s="6">
        <f>IFERROR(__xludf.DUMMYFUNCTION("IF(REGEXMATCH(A432, ""^00-""), 0, IF(AND(NE(F432, """"), EQ(G432, """")), 1, 0))"),0.0)</f>
        <v>0</v>
      </c>
      <c r="P432" s="6">
        <f>IFERROR(__xludf.DUMMYFUNCTION("IF(REGEXMATCH(A432, ""^00-""), 0, IF(AND(EQ(F432, """"), NE(G432, """")), 1, 0))"),0.0)</f>
        <v>0</v>
      </c>
      <c r="Q432" s="6">
        <f>IFERROR(__xludf.DUMMYFUNCTION("IF(REGEXMATCH(A432, ""^00-""), 0, IF(AND(NE(F432, """"), NE(G432, """")), 1, 0))"),1.0)</f>
        <v>1</v>
      </c>
      <c r="R432" s="6">
        <f t="shared" si="1"/>
        <v>1</v>
      </c>
    </row>
    <row r="433">
      <c r="A433" s="1" t="s">
        <v>62</v>
      </c>
      <c r="B433" s="1" t="s">
        <v>1304</v>
      </c>
      <c r="C433" s="1">
        <v>12.0</v>
      </c>
      <c r="D433" s="1">
        <v>99.0</v>
      </c>
      <c r="E433" s="1">
        <v>111.0</v>
      </c>
      <c r="F433" s="1" t="s">
        <v>1305</v>
      </c>
      <c r="G433" s="1" t="s">
        <v>1306</v>
      </c>
      <c r="H433" s="1" t="s">
        <v>250</v>
      </c>
      <c r="I433" s="1" t="s">
        <v>172</v>
      </c>
      <c r="J433" s="1" t="s">
        <v>1228</v>
      </c>
      <c r="K433" s="1" t="s">
        <v>811</v>
      </c>
      <c r="L433" s="1"/>
      <c r="M433" s="1" t="s">
        <v>250</v>
      </c>
      <c r="N433" s="6">
        <f>IFERROR(__xludf.DUMMYFUNCTION("IF(REGEXMATCH(A433, ""^00-""), 0, IF(AND(EQ(F433, """"), EQ(G433, """")), 1, 0))"),0.0)</f>
        <v>0</v>
      </c>
      <c r="O433" s="6">
        <f>IFERROR(__xludf.DUMMYFUNCTION("IF(REGEXMATCH(A433, ""^00-""), 0, IF(AND(NE(F433, """"), EQ(G433, """")), 1, 0))"),0.0)</f>
        <v>0</v>
      </c>
      <c r="P433" s="6">
        <f>IFERROR(__xludf.DUMMYFUNCTION("IF(REGEXMATCH(A433, ""^00-""), 0, IF(AND(EQ(F433, """"), NE(G433, """")), 1, 0))"),0.0)</f>
        <v>0</v>
      </c>
      <c r="Q433" s="6">
        <f>IFERROR(__xludf.DUMMYFUNCTION("IF(REGEXMATCH(A433, ""^00-""), 0, IF(AND(NE(F433, """"), NE(G433, """")), 1, 0))"),1.0)</f>
        <v>1</v>
      </c>
      <c r="R433" s="6">
        <f t="shared" si="1"/>
        <v>1</v>
      </c>
    </row>
    <row r="434">
      <c r="A434" s="1" t="s">
        <v>62</v>
      </c>
      <c r="B434" s="1" t="s">
        <v>1307</v>
      </c>
      <c r="C434" s="1">
        <v>10.0</v>
      </c>
      <c r="D434" s="1">
        <v>101.0</v>
      </c>
      <c r="E434" s="1">
        <v>111.0</v>
      </c>
      <c r="F434" s="1" t="s">
        <v>1308</v>
      </c>
      <c r="G434" s="1" t="s">
        <v>1309</v>
      </c>
      <c r="H434" s="1" t="s">
        <v>254</v>
      </c>
      <c r="I434" s="1" t="s">
        <v>172</v>
      </c>
      <c r="J434" s="1" t="s">
        <v>1228</v>
      </c>
      <c r="K434" s="1" t="s">
        <v>811</v>
      </c>
      <c r="L434" s="1"/>
      <c r="M434" s="1" t="s">
        <v>254</v>
      </c>
      <c r="N434" s="6">
        <f>IFERROR(__xludf.DUMMYFUNCTION("IF(REGEXMATCH(A434, ""^00-""), 0, IF(AND(EQ(F434, """"), EQ(G434, """")), 1, 0))"),0.0)</f>
        <v>0</v>
      </c>
      <c r="O434" s="6">
        <f>IFERROR(__xludf.DUMMYFUNCTION("IF(REGEXMATCH(A434, ""^00-""), 0, IF(AND(NE(F434, """"), EQ(G434, """")), 1, 0))"),0.0)</f>
        <v>0</v>
      </c>
      <c r="P434" s="6">
        <f>IFERROR(__xludf.DUMMYFUNCTION("IF(REGEXMATCH(A434, ""^00-""), 0, IF(AND(EQ(F434, """"), NE(G434, """")), 1, 0))"),0.0)</f>
        <v>0</v>
      </c>
      <c r="Q434" s="6">
        <f>IFERROR(__xludf.DUMMYFUNCTION("IF(REGEXMATCH(A434, ""^00-""), 0, IF(AND(NE(F434, """"), NE(G434, """")), 1, 0))"),1.0)</f>
        <v>1</v>
      </c>
      <c r="R434" s="6">
        <f t="shared" si="1"/>
        <v>1</v>
      </c>
    </row>
    <row r="435">
      <c r="A435" s="1" t="s">
        <v>62</v>
      </c>
      <c r="B435" s="1" t="s">
        <v>1310</v>
      </c>
      <c r="C435" s="1">
        <v>6.0</v>
      </c>
      <c r="D435" s="1">
        <v>105.0</v>
      </c>
      <c r="E435" s="1">
        <v>111.0</v>
      </c>
      <c r="F435" s="1" t="s">
        <v>1311</v>
      </c>
      <c r="G435" s="1" t="s">
        <v>1312</v>
      </c>
      <c r="H435" s="1" t="s">
        <v>250</v>
      </c>
      <c r="I435" s="1" t="s">
        <v>172</v>
      </c>
      <c r="J435" s="1" t="s">
        <v>1228</v>
      </c>
      <c r="K435" s="1" t="s">
        <v>811</v>
      </c>
      <c r="L435" s="1"/>
      <c r="M435" s="1" t="s">
        <v>250</v>
      </c>
      <c r="N435" s="6">
        <f>IFERROR(__xludf.DUMMYFUNCTION("IF(REGEXMATCH(A435, ""^00-""), 0, IF(AND(EQ(F435, """"), EQ(G435, """")), 1, 0))"),0.0)</f>
        <v>0</v>
      </c>
      <c r="O435" s="6">
        <f>IFERROR(__xludf.DUMMYFUNCTION("IF(REGEXMATCH(A435, ""^00-""), 0, IF(AND(NE(F435, """"), EQ(G435, """")), 1, 0))"),0.0)</f>
        <v>0</v>
      </c>
      <c r="P435" s="6">
        <f>IFERROR(__xludf.DUMMYFUNCTION("IF(REGEXMATCH(A435, ""^00-""), 0, IF(AND(EQ(F435, """"), NE(G435, """")), 1, 0))"),0.0)</f>
        <v>0</v>
      </c>
      <c r="Q435" s="6">
        <f>IFERROR(__xludf.DUMMYFUNCTION("IF(REGEXMATCH(A435, ""^00-""), 0, IF(AND(NE(F435, """"), NE(G435, """")), 1, 0))"),1.0)</f>
        <v>1</v>
      </c>
      <c r="R435" s="6">
        <f t="shared" si="1"/>
        <v>1</v>
      </c>
    </row>
    <row r="436">
      <c r="A436" s="1" t="s">
        <v>62</v>
      </c>
      <c r="B436" s="1" t="s">
        <v>1313</v>
      </c>
      <c r="C436" s="1">
        <v>6.0</v>
      </c>
      <c r="D436" s="1">
        <v>105.0</v>
      </c>
      <c r="E436" s="1">
        <v>111.0</v>
      </c>
      <c r="F436" s="1" t="s">
        <v>1314</v>
      </c>
      <c r="G436" s="1" t="s">
        <v>1315</v>
      </c>
      <c r="H436" s="1" t="s">
        <v>254</v>
      </c>
      <c r="I436" s="1" t="s">
        <v>172</v>
      </c>
      <c r="J436" s="1" t="s">
        <v>1228</v>
      </c>
      <c r="K436" s="1" t="s">
        <v>811</v>
      </c>
      <c r="L436" s="1"/>
      <c r="M436" s="1" t="s">
        <v>254</v>
      </c>
      <c r="N436" s="6">
        <f>IFERROR(__xludf.DUMMYFUNCTION("IF(REGEXMATCH(A436, ""^00-""), 0, IF(AND(EQ(F436, """"), EQ(G436, """")), 1, 0))"),0.0)</f>
        <v>0</v>
      </c>
      <c r="O436" s="6">
        <f>IFERROR(__xludf.DUMMYFUNCTION("IF(REGEXMATCH(A436, ""^00-""), 0, IF(AND(NE(F436, """"), EQ(G436, """")), 1, 0))"),0.0)</f>
        <v>0</v>
      </c>
      <c r="P436" s="6">
        <f>IFERROR(__xludf.DUMMYFUNCTION("IF(REGEXMATCH(A436, ""^00-""), 0, IF(AND(EQ(F436, """"), NE(G436, """")), 1, 0))"),0.0)</f>
        <v>0</v>
      </c>
      <c r="Q436" s="6">
        <f>IFERROR(__xludf.DUMMYFUNCTION("IF(REGEXMATCH(A436, ""^00-""), 0, IF(AND(NE(F436, """"), NE(G436, """")), 1, 0))"),1.0)</f>
        <v>1</v>
      </c>
      <c r="R436" s="6">
        <f t="shared" si="1"/>
        <v>1</v>
      </c>
    </row>
    <row r="437">
      <c r="A437" s="1" t="s">
        <v>62</v>
      </c>
      <c r="B437" s="1" t="s">
        <v>1316</v>
      </c>
      <c r="C437" s="1">
        <v>12.0</v>
      </c>
      <c r="D437" s="1">
        <v>99.0</v>
      </c>
      <c r="E437" s="1">
        <v>111.0</v>
      </c>
      <c r="F437" s="1" t="s">
        <v>1317</v>
      </c>
      <c r="G437" s="1" t="s">
        <v>1318</v>
      </c>
      <c r="H437" s="1" t="s">
        <v>269</v>
      </c>
      <c r="I437" s="1" t="s">
        <v>172</v>
      </c>
      <c r="J437" s="1" t="s">
        <v>1228</v>
      </c>
      <c r="K437" s="1" t="s">
        <v>811</v>
      </c>
      <c r="L437" s="1"/>
      <c r="M437" s="1" t="s">
        <v>1244</v>
      </c>
      <c r="N437" s="6">
        <f>IFERROR(__xludf.DUMMYFUNCTION("IF(REGEXMATCH(A437, ""^00-""), 0, IF(AND(EQ(F437, """"), EQ(G437, """")), 1, 0))"),0.0)</f>
        <v>0</v>
      </c>
      <c r="O437" s="6">
        <f>IFERROR(__xludf.DUMMYFUNCTION("IF(REGEXMATCH(A437, ""^00-""), 0, IF(AND(NE(F437, """"), EQ(G437, """")), 1, 0))"),0.0)</f>
        <v>0</v>
      </c>
      <c r="P437" s="6">
        <f>IFERROR(__xludf.DUMMYFUNCTION("IF(REGEXMATCH(A437, ""^00-""), 0, IF(AND(EQ(F437, """"), NE(G437, """")), 1, 0))"),0.0)</f>
        <v>0</v>
      </c>
      <c r="Q437" s="6">
        <f>IFERROR(__xludf.DUMMYFUNCTION("IF(REGEXMATCH(A437, ""^00-""), 0, IF(AND(NE(F437, """"), NE(G437, """")), 1, 0))"),1.0)</f>
        <v>1</v>
      </c>
      <c r="R437" s="6">
        <f t="shared" si="1"/>
        <v>1</v>
      </c>
    </row>
    <row r="438">
      <c r="A438" s="1" t="s">
        <v>62</v>
      </c>
      <c r="B438" s="1" t="s">
        <v>1319</v>
      </c>
      <c r="C438" s="1">
        <v>12.0</v>
      </c>
      <c r="D438" s="1">
        <v>99.0</v>
      </c>
      <c r="E438" s="1">
        <v>111.0</v>
      </c>
      <c r="F438" s="1" t="s">
        <v>1320</v>
      </c>
      <c r="G438" s="1" t="s">
        <v>1321</v>
      </c>
      <c r="H438" s="1" t="s">
        <v>269</v>
      </c>
      <c r="I438" s="1" t="s">
        <v>172</v>
      </c>
      <c r="J438" s="1" t="s">
        <v>1228</v>
      </c>
      <c r="K438" s="1" t="s">
        <v>811</v>
      </c>
      <c r="L438" s="1"/>
      <c r="M438" s="1" t="s">
        <v>1248</v>
      </c>
      <c r="N438" s="6">
        <f>IFERROR(__xludf.DUMMYFUNCTION("IF(REGEXMATCH(A438, ""^00-""), 0, IF(AND(EQ(F438, """"), EQ(G438, """")), 1, 0))"),0.0)</f>
        <v>0</v>
      </c>
      <c r="O438" s="6">
        <f>IFERROR(__xludf.DUMMYFUNCTION("IF(REGEXMATCH(A438, ""^00-""), 0, IF(AND(NE(F438, """"), EQ(G438, """")), 1, 0))"),0.0)</f>
        <v>0</v>
      </c>
      <c r="P438" s="6">
        <f>IFERROR(__xludf.DUMMYFUNCTION("IF(REGEXMATCH(A438, ""^00-""), 0, IF(AND(EQ(F438, """"), NE(G438, """")), 1, 0))"),0.0)</f>
        <v>0</v>
      </c>
      <c r="Q438" s="6">
        <f>IFERROR(__xludf.DUMMYFUNCTION("IF(REGEXMATCH(A438, ""^00-""), 0, IF(AND(NE(F438, """"), NE(G438, """")), 1, 0))"),1.0)</f>
        <v>1</v>
      </c>
      <c r="R438" s="6">
        <f t="shared" si="1"/>
        <v>1</v>
      </c>
    </row>
    <row r="439">
      <c r="A439" s="1" t="s">
        <v>62</v>
      </c>
      <c r="B439" s="1" t="s">
        <v>1322</v>
      </c>
      <c r="C439" s="1">
        <v>12.0</v>
      </c>
      <c r="D439" s="1">
        <v>99.0</v>
      </c>
      <c r="E439" s="1">
        <v>111.0</v>
      </c>
      <c r="F439" s="1" t="s">
        <v>1323</v>
      </c>
      <c r="G439" s="1" t="s">
        <v>1324</v>
      </c>
      <c r="H439" s="1" t="s">
        <v>235</v>
      </c>
      <c r="I439" s="1" t="s">
        <v>172</v>
      </c>
      <c r="J439" s="1" t="s">
        <v>1228</v>
      </c>
      <c r="K439" s="1" t="s">
        <v>811</v>
      </c>
      <c r="L439" s="1"/>
      <c r="M439" s="1" t="s">
        <v>1252</v>
      </c>
      <c r="N439" s="6">
        <f>IFERROR(__xludf.DUMMYFUNCTION("IF(REGEXMATCH(A439, ""^00-""), 0, IF(AND(EQ(F439, """"), EQ(G439, """")), 1, 0))"),0.0)</f>
        <v>0</v>
      </c>
      <c r="O439" s="6">
        <f>IFERROR(__xludf.DUMMYFUNCTION("IF(REGEXMATCH(A439, ""^00-""), 0, IF(AND(NE(F439, """"), EQ(G439, """")), 1, 0))"),0.0)</f>
        <v>0</v>
      </c>
      <c r="P439" s="6">
        <f>IFERROR(__xludf.DUMMYFUNCTION("IF(REGEXMATCH(A439, ""^00-""), 0, IF(AND(EQ(F439, """"), NE(G439, """")), 1, 0))"),0.0)</f>
        <v>0</v>
      </c>
      <c r="Q439" s="6">
        <f>IFERROR(__xludf.DUMMYFUNCTION("IF(REGEXMATCH(A439, ""^00-""), 0, IF(AND(NE(F439, """"), NE(G439, """")), 1, 0))"),1.0)</f>
        <v>1</v>
      </c>
      <c r="R439" s="6">
        <f t="shared" si="1"/>
        <v>1</v>
      </c>
    </row>
    <row r="440">
      <c r="A440" s="1" t="s">
        <v>62</v>
      </c>
      <c r="B440" s="1" t="s">
        <v>1325</v>
      </c>
      <c r="C440" s="1">
        <v>9.0</v>
      </c>
      <c r="D440" s="1">
        <v>102.0</v>
      </c>
      <c r="E440" s="1">
        <v>111.0</v>
      </c>
      <c r="F440" s="1" t="s">
        <v>1326</v>
      </c>
      <c r="G440" s="1" t="s">
        <v>1327</v>
      </c>
      <c r="H440" s="1" t="s">
        <v>171</v>
      </c>
      <c r="I440" s="1" t="s">
        <v>172</v>
      </c>
      <c r="J440" s="1" t="s">
        <v>1228</v>
      </c>
      <c r="K440" s="1" t="s">
        <v>811</v>
      </c>
      <c r="L440" s="1"/>
      <c r="M440" s="1" t="s">
        <v>171</v>
      </c>
      <c r="N440" s="6">
        <f>IFERROR(__xludf.DUMMYFUNCTION("IF(REGEXMATCH(A440, ""^00-""), 0, IF(AND(EQ(F440, """"), EQ(G440, """")), 1, 0))"),0.0)</f>
        <v>0</v>
      </c>
      <c r="O440" s="6">
        <f>IFERROR(__xludf.DUMMYFUNCTION("IF(REGEXMATCH(A440, ""^00-""), 0, IF(AND(NE(F440, """"), EQ(G440, """")), 1, 0))"),0.0)</f>
        <v>0</v>
      </c>
      <c r="P440" s="6">
        <f>IFERROR(__xludf.DUMMYFUNCTION("IF(REGEXMATCH(A440, ""^00-""), 0, IF(AND(EQ(F440, """"), NE(G440, """")), 1, 0))"),0.0)</f>
        <v>0</v>
      </c>
      <c r="Q440" s="6">
        <f>IFERROR(__xludf.DUMMYFUNCTION("IF(REGEXMATCH(A440, ""^00-""), 0, IF(AND(NE(F440, """"), NE(G440, """")), 1, 0))"),1.0)</f>
        <v>1</v>
      </c>
      <c r="R440" s="6">
        <f t="shared" si="1"/>
        <v>1</v>
      </c>
    </row>
    <row r="441">
      <c r="A441" s="1" t="s">
        <v>62</v>
      </c>
      <c r="B441" s="1" t="s">
        <v>1328</v>
      </c>
      <c r="C441" s="1">
        <v>21.0</v>
      </c>
      <c r="D441" s="1">
        <v>90.0</v>
      </c>
      <c r="E441" s="1">
        <v>111.0</v>
      </c>
      <c r="F441" s="1" t="s">
        <v>1329</v>
      </c>
      <c r="G441" s="1" t="s">
        <v>1330</v>
      </c>
      <c r="H441" s="1" t="s">
        <v>269</v>
      </c>
      <c r="I441" s="1" t="s">
        <v>172</v>
      </c>
      <c r="J441" s="1" t="s">
        <v>1228</v>
      </c>
      <c r="K441" s="1" t="s">
        <v>811</v>
      </c>
      <c r="L441" s="1"/>
      <c r="M441" s="1" t="s">
        <v>1328</v>
      </c>
      <c r="N441" s="6">
        <f>IFERROR(__xludf.DUMMYFUNCTION("IF(REGEXMATCH(A441, ""^00-""), 0, IF(AND(EQ(F441, """"), EQ(G441, """")), 1, 0))"),0.0)</f>
        <v>0</v>
      </c>
      <c r="O441" s="6">
        <f>IFERROR(__xludf.DUMMYFUNCTION("IF(REGEXMATCH(A441, ""^00-""), 0, IF(AND(NE(F441, """"), EQ(G441, """")), 1, 0))"),0.0)</f>
        <v>0</v>
      </c>
      <c r="P441" s="6">
        <f>IFERROR(__xludf.DUMMYFUNCTION("IF(REGEXMATCH(A441, ""^00-""), 0, IF(AND(EQ(F441, """"), NE(G441, """")), 1, 0))"),0.0)</f>
        <v>0</v>
      </c>
      <c r="Q441" s="6">
        <f>IFERROR(__xludf.DUMMYFUNCTION("IF(REGEXMATCH(A441, ""^00-""), 0, IF(AND(NE(F441, """"), NE(G441, """")), 1, 0))"),1.0)</f>
        <v>1</v>
      </c>
      <c r="R441" s="6">
        <f t="shared" si="1"/>
        <v>1</v>
      </c>
    </row>
    <row r="442">
      <c r="A442" s="1" t="s">
        <v>62</v>
      </c>
      <c r="B442" s="1" t="s">
        <v>1331</v>
      </c>
      <c r="C442" s="1">
        <v>19.0</v>
      </c>
      <c r="D442" s="1">
        <v>92.0</v>
      </c>
      <c r="E442" s="1">
        <v>111.0</v>
      </c>
      <c r="F442" s="1"/>
      <c r="G442" s="1" t="s">
        <v>1332</v>
      </c>
      <c r="H442" s="1" t="s">
        <v>250</v>
      </c>
      <c r="I442" s="1" t="s">
        <v>172</v>
      </c>
      <c r="J442" s="1" t="s">
        <v>1228</v>
      </c>
      <c r="K442" s="1" t="s">
        <v>811</v>
      </c>
      <c r="L442" s="1"/>
      <c r="M442" s="1" t="s">
        <v>250</v>
      </c>
      <c r="N442" s="6">
        <f>IFERROR(__xludf.DUMMYFUNCTION("IF(REGEXMATCH(A442, ""^00-""), 0, IF(AND(EQ(F442, """"), EQ(G442, """")), 1, 0))"),0.0)</f>
        <v>0</v>
      </c>
      <c r="O442" s="6">
        <f>IFERROR(__xludf.DUMMYFUNCTION("IF(REGEXMATCH(A442, ""^00-""), 0, IF(AND(NE(F442, """"), EQ(G442, """")), 1, 0))"),0.0)</f>
        <v>0</v>
      </c>
      <c r="P442" s="6">
        <f>IFERROR(__xludf.DUMMYFUNCTION("IF(REGEXMATCH(A442, ""^00-""), 0, IF(AND(EQ(F442, """"), NE(G442, """")), 1, 0))"),1.0)</f>
        <v>1</v>
      </c>
      <c r="Q442" s="6">
        <f>IFERROR(__xludf.DUMMYFUNCTION("IF(REGEXMATCH(A442, ""^00-""), 0, IF(AND(NE(F442, """"), NE(G442, """")), 1, 0))"),0.0)</f>
        <v>0</v>
      </c>
      <c r="R442" s="6">
        <f t="shared" si="1"/>
        <v>1</v>
      </c>
    </row>
    <row r="443">
      <c r="A443" s="1" t="s">
        <v>62</v>
      </c>
      <c r="B443" s="1" t="s">
        <v>1333</v>
      </c>
      <c r="C443" s="1">
        <v>15.0</v>
      </c>
      <c r="D443" s="1">
        <v>96.0</v>
      </c>
      <c r="E443" s="1">
        <v>111.0</v>
      </c>
      <c r="F443" s="1"/>
      <c r="G443" s="1" t="s">
        <v>1334</v>
      </c>
      <c r="H443" s="1" t="s">
        <v>250</v>
      </c>
      <c r="I443" s="1" t="s">
        <v>172</v>
      </c>
      <c r="J443" s="1" t="s">
        <v>1228</v>
      </c>
      <c r="K443" s="1" t="s">
        <v>811</v>
      </c>
      <c r="L443" s="1"/>
      <c r="M443" s="1" t="s">
        <v>250</v>
      </c>
      <c r="N443" s="6">
        <f>IFERROR(__xludf.DUMMYFUNCTION("IF(REGEXMATCH(A443, ""^00-""), 0, IF(AND(EQ(F443, """"), EQ(G443, """")), 1, 0))"),0.0)</f>
        <v>0</v>
      </c>
      <c r="O443" s="6">
        <f>IFERROR(__xludf.DUMMYFUNCTION("IF(REGEXMATCH(A443, ""^00-""), 0, IF(AND(NE(F443, """"), EQ(G443, """")), 1, 0))"),0.0)</f>
        <v>0</v>
      </c>
      <c r="P443" s="6">
        <f>IFERROR(__xludf.DUMMYFUNCTION("IF(REGEXMATCH(A443, ""^00-""), 0, IF(AND(EQ(F443, """"), NE(G443, """")), 1, 0))"),1.0)</f>
        <v>1</v>
      </c>
      <c r="Q443" s="6">
        <f>IFERROR(__xludf.DUMMYFUNCTION("IF(REGEXMATCH(A443, ""^00-""), 0, IF(AND(NE(F443, """"), NE(G443, """")), 1, 0))"),0.0)</f>
        <v>0</v>
      </c>
      <c r="R443" s="6">
        <f t="shared" si="1"/>
        <v>1</v>
      </c>
    </row>
    <row r="444">
      <c r="A444" s="1" t="s">
        <v>62</v>
      </c>
      <c r="B444" s="1" t="s">
        <v>1335</v>
      </c>
      <c r="C444" s="1">
        <v>20.0</v>
      </c>
      <c r="D444" s="1">
        <v>91.0</v>
      </c>
      <c r="E444" s="1">
        <v>111.0</v>
      </c>
      <c r="F444" s="1" t="s">
        <v>1336</v>
      </c>
      <c r="G444" s="1" t="s">
        <v>1337</v>
      </c>
      <c r="H444" s="1" t="s">
        <v>269</v>
      </c>
      <c r="I444" s="1" t="s">
        <v>172</v>
      </c>
      <c r="J444" s="1" t="s">
        <v>1228</v>
      </c>
      <c r="K444" s="1" t="s">
        <v>811</v>
      </c>
      <c r="L444" s="1"/>
      <c r="M444" s="1" t="s">
        <v>1244</v>
      </c>
      <c r="N444" s="6">
        <f>IFERROR(__xludf.DUMMYFUNCTION("IF(REGEXMATCH(A444, ""^00-""), 0, IF(AND(EQ(F444, """"), EQ(G444, """")), 1, 0))"),0.0)</f>
        <v>0</v>
      </c>
      <c r="O444" s="6">
        <f>IFERROR(__xludf.DUMMYFUNCTION("IF(REGEXMATCH(A444, ""^00-""), 0, IF(AND(NE(F444, """"), EQ(G444, """")), 1, 0))"),0.0)</f>
        <v>0</v>
      </c>
      <c r="P444" s="6">
        <f>IFERROR(__xludf.DUMMYFUNCTION("IF(REGEXMATCH(A444, ""^00-""), 0, IF(AND(EQ(F444, """"), NE(G444, """")), 1, 0))"),0.0)</f>
        <v>0</v>
      </c>
      <c r="Q444" s="6">
        <f>IFERROR(__xludf.DUMMYFUNCTION("IF(REGEXMATCH(A444, ""^00-""), 0, IF(AND(NE(F444, """"), NE(G444, """")), 1, 0))"),1.0)</f>
        <v>1</v>
      </c>
      <c r="R444" s="6">
        <f t="shared" si="1"/>
        <v>1</v>
      </c>
    </row>
    <row r="445">
      <c r="A445" s="1" t="s">
        <v>62</v>
      </c>
      <c r="B445" s="1" t="s">
        <v>1338</v>
      </c>
      <c r="C445" s="1">
        <v>20.0</v>
      </c>
      <c r="D445" s="1">
        <v>91.0</v>
      </c>
      <c r="E445" s="1">
        <v>111.0</v>
      </c>
      <c r="F445" s="1" t="s">
        <v>1339</v>
      </c>
      <c r="G445" s="1" t="s">
        <v>1340</v>
      </c>
      <c r="H445" s="1" t="s">
        <v>269</v>
      </c>
      <c r="I445" s="1" t="s">
        <v>172</v>
      </c>
      <c r="J445" s="1" t="s">
        <v>1228</v>
      </c>
      <c r="K445" s="1" t="s">
        <v>811</v>
      </c>
      <c r="L445" s="1"/>
      <c r="M445" s="1" t="s">
        <v>1248</v>
      </c>
      <c r="N445" s="6">
        <f>IFERROR(__xludf.DUMMYFUNCTION("IF(REGEXMATCH(A445, ""^00-""), 0, IF(AND(EQ(F445, """"), EQ(G445, """")), 1, 0))"),0.0)</f>
        <v>0</v>
      </c>
      <c r="O445" s="6">
        <f>IFERROR(__xludf.DUMMYFUNCTION("IF(REGEXMATCH(A445, ""^00-""), 0, IF(AND(NE(F445, """"), EQ(G445, """")), 1, 0))"),0.0)</f>
        <v>0</v>
      </c>
      <c r="P445" s="6">
        <f>IFERROR(__xludf.DUMMYFUNCTION("IF(REGEXMATCH(A445, ""^00-""), 0, IF(AND(EQ(F445, """"), NE(G445, """")), 1, 0))"),0.0)</f>
        <v>0</v>
      </c>
      <c r="Q445" s="6">
        <f>IFERROR(__xludf.DUMMYFUNCTION("IF(REGEXMATCH(A445, ""^00-""), 0, IF(AND(NE(F445, """"), NE(G445, """")), 1, 0))"),1.0)</f>
        <v>1</v>
      </c>
      <c r="R445" s="6">
        <f t="shared" si="1"/>
        <v>1</v>
      </c>
    </row>
    <row r="446">
      <c r="A446" s="1" t="s">
        <v>62</v>
      </c>
      <c r="B446" s="1" t="s">
        <v>1341</v>
      </c>
      <c r="C446" s="1">
        <v>20.0</v>
      </c>
      <c r="D446" s="1">
        <v>91.0</v>
      </c>
      <c r="E446" s="1">
        <v>111.0</v>
      </c>
      <c r="F446" s="1" t="s">
        <v>1342</v>
      </c>
      <c r="G446" s="1" t="s">
        <v>1343</v>
      </c>
      <c r="H446" s="1" t="s">
        <v>235</v>
      </c>
      <c r="I446" s="1" t="s">
        <v>172</v>
      </c>
      <c r="J446" s="1" t="s">
        <v>1228</v>
      </c>
      <c r="K446" s="1" t="s">
        <v>811</v>
      </c>
      <c r="L446" s="1"/>
      <c r="M446" s="1" t="s">
        <v>1252</v>
      </c>
      <c r="N446" s="6">
        <f>IFERROR(__xludf.DUMMYFUNCTION("IF(REGEXMATCH(A446, ""^00-""), 0, IF(AND(EQ(F446, """"), EQ(G446, """")), 1, 0))"),0.0)</f>
        <v>0</v>
      </c>
      <c r="O446" s="6">
        <f>IFERROR(__xludf.DUMMYFUNCTION("IF(REGEXMATCH(A446, ""^00-""), 0, IF(AND(NE(F446, """"), EQ(G446, """")), 1, 0))"),0.0)</f>
        <v>0</v>
      </c>
      <c r="P446" s="6">
        <f>IFERROR(__xludf.DUMMYFUNCTION("IF(REGEXMATCH(A446, ""^00-""), 0, IF(AND(EQ(F446, """"), NE(G446, """")), 1, 0))"),0.0)</f>
        <v>0</v>
      </c>
      <c r="Q446" s="6">
        <f>IFERROR(__xludf.DUMMYFUNCTION("IF(REGEXMATCH(A446, ""^00-""), 0, IF(AND(NE(F446, """"), NE(G446, """")), 1, 0))"),1.0)</f>
        <v>1</v>
      </c>
      <c r="R446" s="6">
        <f t="shared" si="1"/>
        <v>1</v>
      </c>
    </row>
    <row r="447">
      <c r="A447" s="1" t="s">
        <v>62</v>
      </c>
      <c r="B447" s="1" t="s">
        <v>1344</v>
      </c>
      <c r="C447" s="1">
        <v>11.0</v>
      </c>
      <c r="D447" s="1">
        <v>100.0</v>
      </c>
      <c r="E447" s="1">
        <v>111.0</v>
      </c>
      <c r="F447" s="1" t="s">
        <v>1345</v>
      </c>
      <c r="G447" s="1" t="s">
        <v>1346</v>
      </c>
      <c r="H447" s="1" t="s">
        <v>171</v>
      </c>
      <c r="I447" s="1" t="s">
        <v>172</v>
      </c>
      <c r="J447" s="1" t="s">
        <v>1228</v>
      </c>
      <c r="K447" s="1" t="s">
        <v>811</v>
      </c>
      <c r="L447" s="1"/>
      <c r="M447" s="1" t="s">
        <v>171</v>
      </c>
      <c r="N447" s="6">
        <f>IFERROR(__xludf.DUMMYFUNCTION("IF(REGEXMATCH(A447, ""^00-""), 0, IF(AND(EQ(F447, """"), EQ(G447, """")), 1, 0))"),0.0)</f>
        <v>0</v>
      </c>
      <c r="O447" s="6">
        <f>IFERROR(__xludf.DUMMYFUNCTION("IF(REGEXMATCH(A447, ""^00-""), 0, IF(AND(NE(F447, """"), EQ(G447, """")), 1, 0))"),0.0)</f>
        <v>0</v>
      </c>
      <c r="P447" s="6">
        <f>IFERROR(__xludf.DUMMYFUNCTION("IF(REGEXMATCH(A447, ""^00-""), 0, IF(AND(EQ(F447, """"), NE(G447, """")), 1, 0))"),0.0)</f>
        <v>0</v>
      </c>
      <c r="Q447" s="6">
        <f>IFERROR(__xludf.DUMMYFUNCTION("IF(REGEXMATCH(A447, ""^00-""), 0, IF(AND(NE(F447, """"), NE(G447, """")), 1, 0))"),1.0)</f>
        <v>1</v>
      </c>
      <c r="R447" s="6">
        <f t="shared" si="1"/>
        <v>1</v>
      </c>
    </row>
    <row r="448">
      <c r="A448" s="1" t="s">
        <v>62</v>
      </c>
      <c r="B448" s="1" t="s">
        <v>1347</v>
      </c>
      <c r="C448" s="1">
        <v>17.0</v>
      </c>
      <c r="D448" s="1">
        <v>94.0</v>
      </c>
      <c r="E448" s="1">
        <v>111.0</v>
      </c>
      <c r="F448" s="1" t="s">
        <v>1348</v>
      </c>
      <c r="G448" s="1" t="s">
        <v>1349</v>
      </c>
      <c r="H448" s="1" t="s">
        <v>250</v>
      </c>
      <c r="I448" s="1" t="s">
        <v>172</v>
      </c>
      <c r="J448" s="1" t="s">
        <v>1228</v>
      </c>
      <c r="K448" s="1" t="s">
        <v>811</v>
      </c>
      <c r="L448" s="1"/>
      <c r="M448" s="1" t="s">
        <v>250</v>
      </c>
      <c r="N448" s="6">
        <f>IFERROR(__xludf.DUMMYFUNCTION("IF(REGEXMATCH(A448, ""^00-""), 0, IF(AND(EQ(F448, """"), EQ(G448, """")), 1, 0))"),0.0)</f>
        <v>0</v>
      </c>
      <c r="O448" s="6">
        <f>IFERROR(__xludf.DUMMYFUNCTION("IF(REGEXMATCH(A448, ""^00-""), 0, IF(AND(NE(F448, """"), EQ(G448, """")), 1, 0))"),0.0)</f>
        <v>0</v>
      </c>
      <c r="P448" s="6">
        <f>IFERROR(__xludf.DUMMYFUNCTION("IF(REGEXMATCH(A448, ""^00-""), 0, IF(AND(EQ(F448, """"), NE(G448, """")), 1, 0))"),0.0)</f>
        <v>0</v>
      </c>
      <c r="Q448" s="6">
        <f>IFERROR(__xludf.DUMMYFUNCTION("IF(REGEXMATCH(A448, ""^00-""), 0, IF(AND(NE(F448, """"), NE(G448, """")), 1, 0))"),1.0)</f>
        <v>1</v>
      </c>
      <c r="R448" s="6">
        <f t="shared" si="1"/>
        <v>1</v>
      </c>
    </row>
    <row r="449">
      <c r="A449" s="1" t="s">
        <v>62</v>
      </c>
      <c r="B449" s="1" t="s">
        <v>1350</v>
      </c>
      <c r="C449" s="1">
        <v>17.0</v>
      </c>
      <c r="D449" s="1">
        <v>94.0</v>
      </c>
      <c r="E449" s="1">
        <v>111.0</v>
      </c>
      <c r="F449" s="1" t="s">
        <v>1351</v>
      </c>
      <c r="G449" s="1" t="s">
        <v>1352</v>
      </c>
      <c r="H449" s="1" t="s">
        <v>254</v>
      </c>
      <c r="I449" s="1" t="s">
        <v>172</v>
      </c>
      <c r="J449" s="1" t="s">
        <v>1228</v>
      </c>
      <c r="K449" s="1" t="s">
        <v>811</v>
      </c>
      <c r="L449" s="1"/>
      <c r="M449" s="1" t="s">
        <v>254</v>
      </c>
      <c r="N449" s="6">
        <f>IFERROR(__xludf.DUMMYFUNCTION("IF(REGEXMATCH(A449, ""^00-""), 0, IF(AND(EQ(F449, """"), EQ(G449, """")), 1, 0))"),0.0)</f>
        <v>0</v>
      </c>
      <c r="O449" s="6">
        <f>IFERROR(__xludf.DUMMYFUNCTION("IF(REGEXMATCH(A449, ""^00-""), 0, IF(AND(NE(F449, """"), EQ(G449, """")), 1, 0))"),0.0)</f>
        <v>0</v>
      </c>
      <c r="P449" s="6">
        <f>IFERROR(__xludf.DUMMYFUNCTION("IF(REGEXMATCH(A449, ""^00-""), 0, IF(AND(EQ(F449, """"), NE(G449, """")), 1, 0))"),0.0)</f>
        <v>0</v>
      </c>
      <c r="Q449" s="6">
        <f>IFERROR(__xludf.DUMMYFUNCTION("IF(REGEXMATCH(A449, ""^00-""), 0, IF(AND(NE(F449, """"), NE(G449, """")), 1, 0))"),1.0)</f>
        <v>1</v>
      </c>
      <c r="R449" s="6">
        <f t="shared" si="1"/>
        <v>1</v>
      </c>
    </row>
    <row r="450">
      <c r="A450" s="1" t="s">
        <v>62</v>
      </c>
      <c r="B450" s="1" t="s">
        <v>1353</v>
      </c>
      <c r="C450" s="1">
        <v>17.0</v>
      </c>
      <c r="D450" s="1">
        <v>94.0</v>
      </c>
      <c r="E450" s="1">
        <v>111.0</v>
      </c>
      <c r="F450" s="1" t="s">
        <v>1354</v>
      </c>
      <c r="G450" s="1" t="s">
        <v>1355</v>
      </c>
      <c r="H450" s="1" t="s">
        <v>269</v>
      </c>
      <c r="I450" s="1" t="s">
        <v>172</v>
      </c>
      <c r="J450" s="1" t="s">
        <v>1228</v>
      </c>
      <c r="K450" s="1" t="s">
        <v>811</v>
      </c>
      <c r="L450" s="1"/>
      <c r="M450" s="1" t="s">
        <v>1244</v>
      </c>
      <c r="N450" s="6">
        <f>IFERROR(__xludf.DUMMYFUNCTION("IF(REGEXMATCH(A450, ""^00-""), 0, IF(AND(EQ(F450, """"), EQ(G450, """")), 1, 0))"),0.0)</f>
        <v>0</v>
      </c>
      <c r="O450" s="6">
        <f>IFERROR(__xludf.DUMMYFUNCTION("IF(REGEXMATCH(A450, ""^00-""), 0, IF(AND(NE(F450, """"), EQ(G450, """")), 1, 0))"),0.0)</f>
        <v>0</v>
      </c>
      <c r="P450" s="6">
        <f>IFERROR(__xludf.DUMMYFUNCTION("IF(REGEXMATCH(A450, ""^00-""), 0, IF(AND(EQ(F450, """"), NE(G450, """")), 1, 0))"),0.0)</f>
        <v>0</v>
      </c>
      <c r="Q450" s="6">
        <f>IFERROR(__xludf.DUMMYFUNCTION("IF(REGEXMATCH(A450, ""^00-""), 0, IF(AND(NE(F450, """"), NE(G450, """")), 1, 0))"),1.0)</f>
        <v>1</v>
      </c>
      <c r="R450" s="6">
        <f t="shared" si="1"/>
        <v>1</v>
      </c>
    </row>
    <row r="451">
      <c r="A451" s="1" t="s">
        <v>62</v>
      </c>
      <c r="B451" s="1" t="s">
        <v>1356</v>
      </c>
      <c r="C451" s="1">
        <v>17.0</v>
      </c>
      <c r="D451" s="1">
        <v>94.0</v>
      </c>
      <c r="E451" s="1">
        <v>111.0</v>
      </c>
      <c r="F451" s="1" t="s">
        <v>1357</v>
      </c>
      <c r="G451" s="1" t="s">
        <v>1358</v>
      </c>
      <c r="H451" s="1" t="s">
        <v>269</v>
      </c>
      <c r="I451" s="1" t="s">
        <v>172</v>
      </c>
      <c r="J451" s="1" t="s">
        <v>1228</v>
      </c>
      <c r="K451" s="1" t="s">
        <v>811</v>
      </c>
      <c r="L451" s="1"/>
      <c r="M451" s="1" t="s">
        <v>1248</v>
      </c>
      <c r="N451" s="6">
        <f>IFERROR(__xludf.DUMMYFUNCTION("IF(REGEXMATCH(A451, ""^00-""), 0, IF(AND(EQ(F451, """"), EQ(G451, """")), 1, 0))"),0.0)</f>
        <v>0</v>
      </c>
      <c r="O451" s="6">
        <f>IFERROR(__xludf.DUMMYFUNCTION("IF(REGEXMATCH(A451, ""^00-""), 0, IF(AND(NE(F451, """"), EQ(G451, """")), 1, 0))"),0.0)</f>
        <v>0</v>
      </c>
      <c r="P451" s="6">
        <f>IFERROR(__xludf.DUMMYFUNCTION("IF(REGEXMATCH(A451, ""^00-""), 0, IF(AND(EQ(F451, """"), NE(G451, """")), 1, 0))"),0.0)</f>
        <v>0</v>
      </c>
      <c r="Q451" s="6">
        <f>IFERROR(__xludf.DUMMYFUNCTION("IF(REGEXMATCH(A451, ""^00-""), 0, IF(AND(NE(F451, """"), NE(G451, """")), 1, 0))"),1.0)</f>
        <v>1</v>
      </c>
      <c r="R451" s="6">
        <f t="shared" si="1"/>
        <v>1</v>
      </c>
    </row>
    <row r="452">
      <c r="A452" s="1" t="s">
        <v>62</v>
      </c>
      <c r="B452" s="1" t="s">
        <v>1359</v>
      </c>
      <c r="C452" s="1">
        <v>17.0</v>
      </c>
      <c r="D452" s="1">
        <v>94.0</v>
      </c>
      <c r="E452" s="1">
        <v>111.0</v>
      </c>
      <c r="F452" s="1" t="s">
        <v>1360</v>
      </c>
      <c r="G452" s="1" t="s">
        <v>1361</v>
      </c>
      <c r="H452" s="1" t="s">
        <v>235</v>
      </c>
      <c r="I452" s="1" t="s">
        <v>172</v>
      </c>
      <c r="J452" s="1" t="s">
        <v>1228</v>
      </c>
      <c r="K452" s="1" t="s">
        <v>811</v>
      </c>
      <c r="L452" s="1"/>
      <c r="M452" s="1" t="s">
        <v>1252</v>
      </c>
      <c r="N452" s="6">
        <f>IFERROR(__xludf.DUMMYFUNCTION("IF(REGEXMATCH(A452, ""^00-""), 0, IF(AND(EQ(F452, """"), EQ(G452, """")), 1, 0))"),0.0)</f>
        <v>0</v>
      </c>
      <c r="O452" s="6">
        <f>IFERROR(__xludf.DUMMYFUNCTION("IF(REGEXMATCH(A452, ""^00-""), 0, IF(AND(NE(F452, """"), EQ(G452, """")), 1, 0))"),0.0)</f>
        <v>0</v>
      </c>
      <c r="P452" s="6">
        <f>IFERROR(__xludf.DUMMYFUNCTION("IF(REGEXMATCH(A452, ""^00-""), 0, IF(AND(EQ(F452, """"), NE(G452, """")), 1, 0))"),0.0)</f>
        <v>0</v>
      </c>
      <c r="Q452" s="6">
        <f>IFERROR(__xludf.DUMMYFUNCTION("IF(REGEXMATCH(A452, ""^00-""), 0, IF(AND(NE(F452, """"), NE(G452, """")), 1, 0))"),1.0)</f>
        <v>1</v>
      </c>
      <c r="R452" s="6">
        <f t="shared" si="1"/>
        <v>1</v>
      </c>
    </row>
    <row r="453">
      <c r="A453" s="1" t="s">
        <v>62</v>
      </c>
      <c r="B453" s="1" t="s">
        <v>1362</v>
      </c>
      <c r="C453" s="1">
        <v>11.0</v>
      </c>
      <c r="D453" s="1">
        <v>100.0</v>
      </c>
      <c r="E453" s="1">
        <v>111.0</v>
      </c>
      <c r="F453" s="1" t="s">
        <v>1363</v>
      </c>
      <c r="G453" s="1" t="s">
        <v>1364</v>
      </c>
      <c r="H453" s="1" t="s">
        <v>171</v>
      </c>
      <c r="I453" s="1" t="s">
        <v>172</v>
      </c>
      <c r="J453" s="1" t="s">
        <v>1228</v>
      </c>
      <c r="K453" s="1" t="s">
        <v>811</v>
      </c>
      <c r="L453" s="1"/>
      <c r="M453" s="1" t="s">
        <v>171</v>
      </c>
      <c r="N453" s="6">
        <f>IFERROR(__xludf.DUMMYFUNCTION("IF(REGEXMATCH(A453, ""^00-""), 0, IF(AND(EQ(F453, """"), EQ(G453, """")), 1, 0))"),0.0)</f>
        <v>0</v>
      </c>
      <c r="O453" s="6">
        <f>IFERROR(__xludf.DUMMYFUNCTION("IF(REGEXMATCH(A453, ""^00-""), 0, IF(AND(NE(F453, """"), EQ(G453, """")), 1, 0))"),0.0)</f>
        <v>0</v>
      </c>
      <c r="P453" s="6">
        <f>IFERROR(__xludf.DUMMYFUNCTION("IF(REGEXMATCH(A453, ""^00-""), 0, IF(AND(EQ(F453, """"), NE(G453, """")), 1, 0))"),0.0)</f>
        <v>0</v>
      </c>
      <c r="Q453" s="6">
        <f>IFERROR(__xludf.DUMMYFUNCTION("IF(REGEXMATCH(A453, ""^00-""), 0, IF(AND(NE(F453, """"), NE(G453, """")), 1, 0))"),1.0)</f>
        <v>1</v>
      </c>
      <c r="R453" s="6">
        <f t="shared" si="1"/>
        <v>1</v>
      </c>
    </row>
    <row r="454">
      <c r="A454" s="1" t="s">
        <v>62</v>
      </c>
      <c r="B454" s="1" t="s">
        <v>1365</v>
      </c>
      <c r="C454" s="1">
        <v>51.0</v>
      </c>
      <c r="D454" s="1">
        <v>60.0</v>
      </c>
      <c r="E454" s="1">
        <v>111.0</v>
      </c>
      <c r="F454" s="1" t="s">
        <v>1366</v>
      </c>
      <c r="G454" s="1" t="s">
        <v>1367</v>
      </c>
      <c r="H454" s="1" t="s">
        <v>171</v>
      </c>
      <c r="I454" s="1" t="s">
        <v>172</v>
      </c>
      <c r="J454" s="1" t="s">
        <v>1228</v>
      </c>
      <c r="K454" s="1" t="s">
        <v>811</v>
      </c>
      <c r="L454" s="1"/>
      <c r="M454" s="1" t="s">
        <v>171</v>
      </c>
      <c r="N454" s="6">
        <f>IFERROR(__xludf.DUMMYFUNCTION("IF(REGEXMATCH(A454, ""^00-""), 0, IF(AND(EQ(F454, """"), EQ(G454, """")), 1, 0))"),0.0)</f>
        <v>0</v>
      </c>
      <c r="O454" s="6">
        <f>IFERROR(__xludf.DUMMYFUNCTION("IF(REGEXMATCH(A454, ""^00-""), 0, IF(AND(NE(F454, """"), EQ(G454, """")), 1, 0))"),0.0)</f>
        <v>0</v>
      </c>
      <c r="P454" s="6">
        <f>IFERROR(__xludf.DUMMYFUNCTION("IF(REGEXMATCH(A454, ""^00-""), 0, IF(AND(EQ(F454, """"), NE(G454, """")), 1, 0))"),0.0)</f>
        <v>0</v>
      </c>
      <c r="Q454" s="6">
        <f>IFERROR(__xludf.DUMMYFUNCTION("IF(REGEXMATCH(A454, ""^00-""), 0, IF(AND(NE(F454, """"), NE(G454, """")), 1, 0))"),1.0)</f>
        <v>1</v>
      </c>
      <c r="R454" s="6">
        <f t="shared" si="1"/>
        <v>1</v>
      </c>
    </row>
    <row r="455">
      <c r="A455" s="1" t="s">
        <v>62</v>
      </c>
      <c r="B455" s="1" t="s">
        <v>1368</v>
      </c>
      <c r="C455" s="1">
        <v>51.0</v>
      </c>
      <c r="D455" s="1">
        <v>60.0</v>
      </c>
      <c r="E455" s="1">
        <v>111.0</v>
      </c>
      <c r="F455" s="1" t="s">
        <v>1369</v>
      </c>
      <c r="G455" s="1" t="s">
        <v>1370</v>
      </c>
      <c r="H455" s="1" t="s">
        <v>250</v>
      </c>
      <c r="I455" s="1" t="s">
        <v>172</v>
      </c>
      <c r="J455" s="1" t="s">
        <v>1228</v>
      </c>
      <c r="K455" s="1" t="s">
        <v>811</v>
      </c>
      <c r="L455" s="1"/>
      <c r="M455" s="1" t="s">
        <v>250</v>
      </c>
      <c r="N455" s="6">
        <f>IFERROR(__xludf.DUMMYFUNCTION("IF(REGEXMATCH(A455, ""^00-""), 0, IF(AND(EQ(F455, """"), EQ(G455, """")), 1, 0))"),0.0)</f>
        <v>0</v>
      </c>
      <c r="O455" s="6">
        <f>IFERROR(__xludf.DUMMYFUNCTION("IF(REGEXMATCH(A455, ""^00-""), 0, IF(AND(NE(F455, """"), EQ(G455, """")), 1, 0))"),0.0)</f>
        <v>0</v>
      </c>
      <c r="P455" s="6">
        <f>IFERROR(__xludf.DUMMYFUNCTION("IF(REGEXMATCH(A455, ""^00-""), 0, IF(AND(EQ(F455, """"), NE(G455, """")), 1, 0))"),0.0)</f>
        <v>0</v>
      </c>
      <c r="Q455" s="6">
        <f>IFERROR(__xludf.DUMMYFUNCTION("IF(REGEXMATCH(A455, ""^00-""), 0, IF(AND(NE(F455, """"), NE(G455, """")), 1, 0))"),1.0)</f>
        <v>1</v>
      </c>
      <c r="R455" s="6">
        <f t="shared" si="1"/>
        <v>1</v>
      </c>
    </row>
    <row r="456">
      <c r="A456" s="1" t="s">
        <v>62</v>
      </c>
      <c r="B456" s="1" t="s">
        <v>1371</v>
      </c>
      <c r="C456" s="1">
        <v>45.0</v>
      </c>
      <c r="D456" s="1">
        <v>66.0</v>
      </c>
      <c r="E456" s="1">
        <v>111.0</v>
      </c>
      <c r="F456" s="1" t="s">
        <v>1372</v>
      </c>
      <c r="G456" s="1" t="s">
        <v>1373</v>
      </c>
      <c r="H456" s="1" t="s">
        <v>254</v>
      </c>
      <c r="I456" s="1" t="s">
        <v>172</v>
      </c>
      <c r="J456" s="1" t="s">
        <v>1228</v>
      </c>
      <c r="K456" s="1" t="s">
        <v>811</v>
      </c>
      <c r="L456" s="1"/>
      <c r="M456" s="1" t="s">
        <v>254</v>
      </c>
      <c r="N456" s="6">
        <f>IFERROR(__xludf.DUMMYFUNCTION("IF(REGEXMATCH(A456, ""^00-""), 0, IF(AND(EQ(F456, """"), EQ(G456, """")), 1, 0))"),0.0)</f>
        <v>0</v>
      </c>
      <c r="O456" s="6">
        <f>IFERROR(__xludf.DUMMYFUNCTION("IF(REGEXMATCH(A456, ""^00-""), 0, IF(AND(NE(F456, """"), EQ(G456, """")), 1, 0))"),0.0)</f>
        <v>0</v>
      </c>
      <c r="P456" s="6">
        <f>IFERROR(__xludf.DUMMYFUNCTION("IF(REGEXMATCH(A456, ""^00-""), 0, IF(AND(EQ(F456, """"), NE(G456, """")), 1, 0))"),0.0)</f>
        <v>0</v>
      </c>
      <c r="Q456" s="6">
        <f>IFERROR(__xludf.DUMMYFUNCTION("IF(REGEXMATCH(A456, ""^00-""), 0, IF(AND(NE(F456, """"), NE(G456, """")), 1, 0))"),1.0)</f>
        <v>1</v>
      </c>
      <c r="R456" s="6">
        <f t="shared" si="1"/>
        <v>1</v>
      </c>
    </row>
    <row r="457">
      <c r="A457" s="1" t="s">
        <v>62</v>
      </c>
      <c r="B457" s="1" t="s">
        <v>1374</v>
      </c>
      <c r="C457" s="1">
        <v>16.0</v>
      </c>
      <c r="D457" s="1">
        <v>95.0</v>
      </c>
      <c r="E457" s="1">
        <v>111.0</v>
      </c>
      <c r="F457" s="1" t="s">
        <v>1375</v>
      </c>
      <c r="G457" s="1" t="s">
        <v>1376</v>
      </c>
      <c r="H457" s="1" t="s">
        <v>250</v>
      </c>
      <c r="I457" s="1" t="s">
        <v>172</v>
      </c>
      <c r="J457" s="1" t="s">
        <v>1228</v>
      </c>
      <c r="K457" s="1" t="s">
        <v>811</v>
      </c>
      <c r="L457" s="1"/>
      <c r="M457" s="1" t="s">
        <v>250</v>
      </c>
      <c r="N457" s="6">
        <f>IFERROR(__xludf.DUMMYFUNCTION("IF(REGEXMATCH(A457, ""^00-""), 0, IF(AND(EQ(F457, """"), EQ(G457, """")), 1, 0))"),0.0)</f>
        <v>0</v>
      </c>
      <c r="O457" s="6">
        <f>IFERROR(__xludf.DUMMYFUNCTION("IF(REGEXMATCH(A457, ""^00-""), 0, IF(AND(NE(F457, """"), EQ(G457, """")), 1, 0))"),0.0)</f>
        <v>0</v>
      </c>
      <c r="P457" s="6">
        <f>IFERROR(__xludf.DUMMYFUNCTION("IF(REGEXMATCH(A457, ""^00-""), 0, IF(AND(EQ(F457, """"), NE(G457, """")), 1, 0))"),0.0)</f>
        <v>0</v>
      </c>
      <c r="Q457" s="6">
        <f>IFERROR(__xludf.DUMMYFUNCTION("IF(REGEXMATCH(A457, ""^00-""), 0, IF(AND(NE(F457, """"), NE(G457, """")), 1, 0))"),1.0)</f>
        <v>1</v>
      </c>
      <c r="R457" s="6">
        <f t="shared" si="1"/>
        <v>1</v>
      </c>
    </row>
    <row r="458">
      <c r="A458" s="1" t="s">
        <v>62</v>
      </c>
      <c r="B458" s="1" t="s">
        <v>1377</v>
      </c>
      <c r="C458" s="1">
        <v>14.0</v>
      </c>
      <c r="D458" s="1">
        <v>97.0</v>
      </c>
      <c r="E458" s="1">
        <v>111.0</v>
      </c>
      <c r="F458" s="1" t="s">
        <v>1378</v>
      </c>
      <c r="G458" s="1" t="s">
        <v>1379</v>
      </c>
      <c r="H458" s="1" t="s">
        <v>254</v>
      </c>
      <c r="I458" s="1" t="s">
        <v>172</v>
      </c>
      <c r="J458" s="1" t="s">
        <v>1228</v>
      </c>
      <c r="K458" s="1" t="s">
        <v>811</v>
      </c>
      <c r="L458" s="1"/>
      <c r="M458" s="1" t="s">
        <v>254</v>
      </c>
      <c r="N458" s="6">
        <f>IFERROR(__xludf.DUMMYFUNCTION("IF(REGEXMATCH(A458, ""^00-""), 0, IF(AND(EQ(F458, """"), EQ(G458, """")), 1, 0))"),0.0)</f>
        <v>0</v>
      </c>
      <c r="O458" s="6">
        <f>IFERROR(__xludf.DUMMYFUNCTION("IF(REGEXMATCH(A458, ""^00-""), 0, IF(AND(NE(F458, """"), EQ(G458, """")), 1, 0))"),0.0)</f>
        <v>0</v>
      </c>
      <c r="P458" s="6">
        <f>IFERROR(__xludf.DUMMYFUNCTION("IF(REGEXMATCH(A458, ""^00-""), 0, IF(AND(EQ(F458, """"), NE(G458, """")), 1, 0))"),0.0)</f>
        <v>0</v>
      </c>
      <c r="Q458" s="6">
        <f>IFERROR(__xludf.DUMMYFUNCTION("IF(REGEXMATCH(A458, ""^00-""), 0, IF(AND(NE(F458, """"), NE(G458, """")), 1, 0))"),1.0)</f>
        <v>1</v>
      </c>
      <c r="R458" s="6">
        <f t="shared" si="1"/>
        <v>1</v>
      </c>
    </row>
    <row r="459">
      <c r="A459" s="1" t="s">
        <v>62</v>
      </c>
      <c r="B459" s="1" t="s">
        <v>1380</v>
      </c>
      <c r="C459" s="1">
        <v>51.0</v>
      </c>
      <c r="D459" s="1">
        <v>60.0</v>
      </c>
      <c r="E459" s="1">
        <v>111.0</v>
      </c>
      <c r="F459" s="1" t="s">
        <v>1381</v>
      </c>
      <c r="G459" s="1" t="s">
        <v>1382</v>
      </c>
      <c r="H459" s="1" t="s">
        <v>269</v>
      </c>
      <c r="I459" s="1" t="s">
        <v>172</v>
      </c>
      <c r="J459" s="1" t="s">
        <v>1228</v>
      </c>
      <c r="K459" s="1" t="s">
        <v>811</v>
      </c>
      <c r="L459" s="1"/>
      <c r="M459" s="1" t="s">
        <v>1244</v>
      </c>
      <c r="N459" s="6">
        <f>IFERROR(__xludf.DUMMYFUNCTION("IF(REGEXMATCH(A459, ""^00-""), 0, IF(AND(EQ(F459, """"), EQ(G459, """")), 1, 0))"),0.0)</f>
        <v>0</v>
      </c>
      <c r="O459" s="6">
        <f>IFERROR(__xludf.DUMMYFUNCTION("IF(REGEXMATCH(A459, ""^00-""), 0, IF(AND(NE(F459, """"), EQ(G459, """")), 1, 0))"),0.0)</f>
        <v>0</v>
      </c>
      <c r="P459" s="6">
        <f>IFERROR(__xludf.DUMMYFUNCTION("IF(REGEXMATCH(A459, ""^00-""), 0, IF(AND(EQ(F459, """"), NE(G459, """")), 1, 0))"),0.0)</f>
        <v>0</v>
      </c>
      <c r="Q459" s="6">
        <f>IFERROR(__xludf.DUMMYFUNCTION("IF(REGEXMATCH(A459, ""^00-""), 0, IF(AND(NE(F459, """"), NE(G459, """")), 1, 0))"),1.0)</f>
        <v>1</v>
      </c>
      <c r="R459" s="6">
        <f t="shared" si="1"/>
        <v>1</v>
      </c>
    </row>
    <row r="460">
      <c r="A460" s="1" t="s">
        <v>62</v>
      </c>
      <c r="B460" s="1" t="s">
        <v>1383</v>
      </c>
      <c r="C460" s="1">
        <v>51.0</v>
      </c>
      <c r="D460" s="1">
        <v>60.0</v>
      </c>
      <c r="E460" s="1">
        <v>111.0</v>
      </c>
      <c r="F460" s="1" t="s">
        <v>1384</v>
      </c>
      <c r="G460" s="1" t="s">
        <v>1385</v>
      </c>
      <c r="H460" s="1" t="s">
        <v>269</v>
      </c>
      <c r="I460" s="1" t="s">
        <v>172</v>
      </c>
      <c r="J460" s="1" t="s">
        <v>1228</v>
      </c>
      <c r="K460" s="1" t="s">
        <v>811</v>
      </c>
      <c r="L460" s="1"/>
      <c r="M460" s="1" t="s">
        <v>1248</v>
      </c>
      <c r="N460" s="6">
        <f>IFERROR(__xludf.DUMMYFUNCTION("IF(REGEXMATCH(A460, ""^00-""), 0, IF(AND(EQ(F460, """"), EQ(G460, """")), 1, 0))"),0.0)</f>
        <v>0</v>
      </c>
      <c r="O460" s="6">
        <f>IFERROR(__xludf.DUMMYFUNCTION("IF(REGEXMATCH(A460, ""^00-""), 0, IF(AND(NE(F460, """"), EQ(G460, """")), 1, 0))"),0.0)</f>
        <v>0</v>
      </c>
      <c r="P460" s="6">
        <f>IFERROR(__xludf.DUMMYFUNCTION("IF(REGEXMATCH(A460, ""^00-""), 0, IF(AND(EQ(F460, """"), NE(G460, """")), 1, 0))"),0.0)</f>
        <v>0</v>
      </c>
      <c r="Q460" s="6">
        <f>IFERROR(__xludf.DUMMYFUNCTION("IF(REGEXMATCH(A460, ""^00-""), 0, IF(AND(NE(F460, """"), NE(G460, """")), 1, 0))"),1.0)</f>
        <v>1</v>
      </c>
      <c r="R460" s="6">
        <f t="shared" si="1"/>
        <v>1</v>
      </c>
    </row>
    <row r="461">
      <c r="A461" s="1" t="s">
        <v>62</v>
      </c>
      <c r="B461" s="1" t="s">
        <v>1386</v>
      </c>
      <c r="C461" s="1">
        <v>51.0</v>
      </c>
      <c r="D461" s="1">
        <v>60.0</v>
      </c>
      <c r="E461" s="1">
        <v>111.0</v>
      </c>
      <c r="F461" s="1" t="s">
        <v>1387</v>
      </c>
      <c r="G461" s="1" t="s">
        <v>1388</v>
      </c>
      <c r="H461" s="1" t="s">
        <v>235</v>
      </c>
      <c r="I461" s="1" t="s">
        <v>172</v>
      </c>
      <c r="J461" s="1" t="s">
        <v>1228</v>
      </c>
      <c r="K461" s="1" t="s">
        <v>811</v>
      </c>
      <c r="L461" s="1"/>
      <c r="M461" s="1" t="s">
        <v>1252</v>
      </c>
      <c r="N461" s="6">
        <f>IFERROR(__xludf.DUMMYFUNCTION("IF(REGEXMATCH(A461, ""^00-""), 0, IF(AND(EQ(F461, """"), EQ(G461, """")), 1, 0))"),0.0)</f>
        <v>0</v>
      </c>
      <c r="O461" s="6">
        <f>IFERROR(__xludf.DUMMYFUNCTION("IF(REGEXMATCH(A461, ""^00-""), 0, IF(AND(NE(F461, """"), EQ(G461, """")), 1, 0))"),0.0)</f>
        <v>0</v>
      </c>
      <c r="P461" s="6">
        <f>IFERROR(__xludf.DUMMYFUNCTION("IF(REGEXMATCH(A461, ""^00-""), 0, IF(AND(EQ(F461, """"), NE(G461, """")), 1, 0))"),0.0)</f>
        <v>0</v>
      </c>
      <c r="Q461" s="6">
        <f>IFERROR(__xludf.DUMMYFUNCTION("IF(REGEXMATCH(A461, ""^00-""), 0, IF(AND(NE(F461, """"), NE(G461, """")), 1, 0))"),1.0)</f>
        <v>1</v>
      </c>
      <c r="R461" s="6">
        <f t="shared" si="1"/>
        <v>1</v>
      </c>
    </row>
    <row r="462">
      <c r="A462" s="1" t="s">
        <v>62</v>
      </c>
      <c r="B462" s="1" t="s">
        <v>1389</v>
      </c>
      <c r="C462" s="1">
        <v>36.0</v>
      </c>
      <c r="D462" s="1">
        <v>75.0</v>
      </c>
      <c r="E462" s="1">
        <v>111.0</v>
      </c>
      <c r="F462" s="1" t="s">
        <v>1390</v>
      </c>
      <c r="G462" s="1" t="s">
        <v>1391</v>
      </c>
      <c r="H462" s="1" t="s">
        <v>171</v>
      </c>
      <c r="I462" s="1" t="s">
        <v>172</v>
      </c>
      <c r="J462" s="1" t="s">
        <v>1228</v>
      </c>
      <c r="K462" s="1" t="s">
        <v>811</v>
      </c>
      <c r="L462" s="1"/>
      <c r="M462" s="1" t="s">
        <v>171</v>
      </c>
      <c r="N462" s="6">
        <f>IFERROR(__xludf.DUMMYFUNCTION("IF(REGEXMATCH(A462, ""^00-""), 0, IF(AND(EQ(F462, """"), EQ(G462, """")), 1, 0))"),0.0)</f>
        <v>0</v>
      </c>
      <c r="O462" s="6">
        <f>IFERROR(__xludf.DUMMYFUNCTION("IF(REGEXMATCH(A462, ""^00-""), 0, IF(AND(NE(F462, """"), EQ(G462, """")), 1, 0))"),0.0)</f>
        <v>0</v>
      </c>
      <c r="P462" s="6">
        <f>IFERROR(__xludf.DUMMYFUNCTION("IF(REGEXMATCH(A462, ""^00-""), 0, IF(AND(EQ(F462, """"), NE(G462, """")), 1, 0))"),0.0)</f>
        <v>0</v>
      </c>
      <c r="Q462" s="6">
        <f>IFERROR(__xludf.DUMMYFUNCTION("IF(REGEXMATCH(A462, ""^00-""), 0, IF(AND(NE(F462, """"), NE(G462, """")), 1, 0))"),1.0)</f>
        <v>1</v>
      </c>
      <c r="R462" s="6">
        <f t="shared" si="1"/>
        <v>1</v>
      </c>
    </row>
    <row r="463">
      <c r="A463" s="1" t="s">
        <v>64</v>
      </c>
      <c r="B463" s="1" t="s">
        <v>1392</v>
      </c>
      <c r="C463" s="1">
        <v>156.0</v>
      </c>
      <c r="D463" s="1">
        <v>0.0</v>
      </c>
      <c r="E463" s="1">
        <v>156.0</v>
      </c>
      <c r="F463" s="1" t="s">
        <v>1393</v>
      </c>
      <c r="G463" s="1" t="s">
        <v>1394</v>
      </c>
      <c r="H463" s="1" t="s">
        <v>182</v>
      </c>
      <c r="I463" s="1" t="s">
        <v>172</v>
      </c>
      <c r="J463" s="1" t="s">
        <v>1395</v>
      </c>
      <c r="K463" s="1" t="s">
        <v>811</v>
      </c>
      <c r="L463" s="1"/>
      <c r="M463" s="1" t="s">
        <v>185</v>
      </c>
      <c r="N463" s="6">
        <f>IFERROR(__xludf.DUMMYFUNCTION("IF(REGEXMATCH(A463, ""^00-""), 0, IF(AND(EQ(F463, """"), EQ(G463, """")), 1, 0))"),0.0)</f>
        <v>0</v>
      </c>
      <c r="O463" s="6">
        <f>IFERROR(__xludf.DUMMYFUNCTION("IF(REGEXMATCH(A463, ""^00-""), 0, IF(AND(NE(F463, """"), EQ(G463, """")), 1, 0))"),0.0)</f>
        <v>0</v>
      </c>
      <c r="P463" s="6">
        <f>IFERROR(__xludf.DUMMYFUNCTION("IF(REGEXMATCH(A463, ""^00-""), 0, IF(AND(EQ(F463, """"), NE(G463, """")), 1, 0))"),0.0)</f>
        <v>0</v>
      </c>
      <c r="Q463" s="6">
        <f>IFERROR(__xludf.DUMMYFUNCTION("IF(REGEXMATCH(A463, ""^00-""), 0, IF(AND(NE(F463, """"), NE(G463, """")), 1, 0))"),1.0)</f>
        <v>1</v>
      </c>
      <c r="R463" s="6">
        <f t="shared" si="1"/>
        <v>1</v>
      </c>
    </row>
    <row r="464">
      <c r="A464" s="1" t="s">
        <v>64</v>
      </c>
      <c r="B464" s="1" t="s">
        <v>1396</v>
      </c>
      <c r="C464" s="1">
        <v>156.0</v>
      </c>
      <c r="D464" s="1">
        <v>0.0</v>
      </c>
      <c r="E464" s="1">
        <v>156.0</v>
      </c>
      <c r="F464" s="1" t="s">
        <v>1397</v>
      </c>
      <c r="G464" s="1" t="s">
        <v>1398</v>
      </c>
      <c r="H464" s="1" t="s">
        <v>250</v>
      </c>
      <c r="I464" s="1" t="s">
        <v>172</v>
      </c>
      <c r="J464" s="1" t="s">
        <v>1395</v>
      </c>
      <c r="K464" s="1" t="s">
        <v>811</v>
      </c>
      <c r="L464" s="1"/>
      <c r="M464" s="1" t="s">
        <v>250</v>
      </c>
      <c r="N464" s="6">
        <f>IFERROR(__xludf.DUMMYFUNCTION("IF(REGEXMATCH(A464, ""^00-""), 0, IF(AND(EQ(F464, """"), EQ(G464, """")), 1, 0))"),0.0)</f>
        <v>0</v>
      </c>
      <c r="O464" s="6">
        <f>IFERROR(__xludf.DUMMYFUNCTION("IF(REGEXMATCH(A464, ""^00-""), 0, IF(AND(NE(F464, """"), EQ(G464, """")), 1, 0))"),0.0)</f>
        <v>0</v>
      </c>
      <c r="P464" s="6">
        <f>IFERROR(__xludf.DUMMYFUNCTION("IF(REGEXMATCH(A464, ""^00-""), 0, IF(AND(EQ(F464, """"), NE(G464, """")), 1, 0))"),0.0)</f>
        <v>0</v>
      </c>
      <c r="Q464" s="6">
        <f>IFERROR(__xludf.DUMMYFUNCTION("IF(REGEXMATCH(A464, ""^00-""), 0, IF(AND(NE(F464, """"), NE(G464, """")), 1, 0))"),1.0)</f>
        <v>1</v>
      </c>
      <c r="R464" s="6">
        <f t="shared" si="1"/>
        <v>1</v>
      </c>
    </row>
    <row r="465">
      <c r="A465" s="1" t="s">
        <v>64</v>
      </c>
      <c r="B465" s="1" t="s">
        <v>1399</v>
      </c>
      <c r="C465" s="1">
        <v>156.0</v>
      </c>
      <c r="D465" s="1">
        <v>0.0</v>
      </c>
      <c r="E465" s="1">
        <v>156.0</v>
      </c>
      <c r="F465" s="7" t="s">
        <v>1400</v>
      </c>
      <c r="G465" s="7" t="s">
        <v>1401</v>
      </c>
      <c r="H465" s="1" t="s">
        <v>235</v>
      </c>
      <c r="I465" s="1" t="s">
        <v>172</v>
      </c>
      <c r="J465" s="1" t="s">
        <v>1395</v>
      </c>
      <c r="K465" s="1" t="s">
        <v>811</v>
      </c>
      <c r="L465" s="1"/>
      <c r="M465" s="1" t="s">
        <v>1399</v>
      </c>
      <c r="N465" s="6">
        <f>IFERROR(__xludf.DUMMYFUNCTION("IF(REGEXMATCH(A465, ""^00-""), 0, IF(AND(EQ(F465, """"), EQ(G465, """")), 1, 0))"),0.0)</f>
        <v>0</v>
      </c>
      <c r="O465" s="6">
        <f>IFERROR(__xludf.DUMMYFUNCTION("IF(REGEXMATCH(A465, ""^00-""), 0, IF(AND(NE(F465, """"), EQ(G465, """")), 1, 0))"),0.0)</f>
        <v>0</v>
      </c>
      <c r="P465" s="6">
        <f>IFERROR(__xludf.DUMMYFUNCTION("IF(REGEXMATCH(A465, ""^00-""), 0, IF(AND(EQ(F465, """"), NE(G465, """")), 1, 0))"),0.0)</f>
        <v>0</v>
      </c>
      <c r="Q465" s="6">
        <f>IFERROR(__xludf.DUMMYFUNCTION("IF(REGEXMATCH(A465, ""^00-""), 0, IF(AND(NE(F465, """"), NE(G465, """")), 1, 0))"),1.0)</f>
        <v>1</v>
      </c>
      <c r="R465" s="6">
        <f t="shared" si="1"/>
        <v>1</v>
      </c>
    </row>
    <row r="466">
      <c r="A466" s="1" t="s">
        <v>64</v>
      </c>
      <c r="B466" s="1" t="s">
        <v>1402</v>
      </c>
      <c r="C466" s="1">
        <v>0.0</v>
      </c>
      <c r="D466" s="1">
        <v>156.0</v>
      </c>
      <c r="E466" s="1">
        <v>156.0</v>
      </c>
      <c r="F466" s="7"/>
      <c r="G466" s="7" t="s">
        <v>1403</v>
      </c>
      <c r="H466" s="1" t="s">
        <v>190</v>
      </c>
      <c r="I466" s="1" t="s">
        <v>172</v>
      </c>
      <c r="J466" s="1" t="s">
        <v>1395</v>
      </c>
      <c r="K466" s="1" t="s">
        <v>811</v>
      </c>
      <c r="L466" s="1"/>
      <c r="M466" s="1" t="s">
        <v>191</v>
      </c>
      <c r="N466" s="6">
        <f>IFERROR(__xludf.DUMMYFUNCTION("IF(REGEXMATCH(A466, ""^00-""), 0, IF(AND(EQ(F466, """"), EQ(G466, """")), 1, 0))"),0.0)</f>
        <v>0</v>
      </c>
      <c r="O466" s="6">
        <f>IFERROR(__xludf.DUMMYFUNCTION("IF(REGEXMATCH(A466, ""^00-""), 0, IF(AND(NE(F466, """"), EQ(G466, """")), 1, 0))"),0.0)</f>
        <v>0</v>
      </c>
      <c r="P466" s="6">
        <f>IFERROR(__xludf.DUMMYFUNCTION("IF(REGEXMATCH(A466, ""^00-""), 0, IF(AND(EQ(F466, """"), NE(G466, """")), 1, 0))"),1.0)</f>
        <v>1</v>
      </c>
      <c r="Q466" s="6">
        <f>IFERROR(__xludf.DUMMYFUNCTION("IF(REGEXMATCH(A466, ""^00-""), 0, IF(AND(NE(F466, """"), NE(G466, """")), 1, 0))"),0.0)</f>
        <v>0</v>
      </c>
      <c r="R466" s="6">
        <f t="shared" si="1"/>
        <v>1</v>
      </c>
    </row>
    <row r="467">
      <c r="A467" s="1" t="s">
        <v>64</v>
      </c>
      <c r="B467" s="1" t="s">
        <v>1404</v>
      </c>
      <c r="C467" s="1">
        <v>0.0</v>
      </c>
      <c r="D467" s="1">
        <v>156.0</v>
      </c>
      <c r="E467" s="1">
        <v>156.0</v>
      </c>
      <c r="F467" s="7"/>
      <c r="G467" s="7" t="s">
        <v>1405</v>
      </c>
      <c r="H467" s="1" t="s">
        <v>190</v>
      </c>
      <c r="I467" s="1" t="s">
        <v>172</v>
      </c>
      <c r="J467" s="1" t="s">
        <v>1395</v>
      </c>
      <c r="K467" s="1" t="s">
        <v>811</v>
      </c>
      <c r="L467" s="1"/>
      <c r="M467" s="1" t="s">
        <v>191</v>
      </c>
      <c r="N467" s="6">
        <f>IFERROR(__xludf.DUMMYFUNCTION("IF(REGEXMATCH(A467, ""^00-""), 0, IF(AND(EQ(F467, """"), EQ(G467, """")), 1, 0))"),0.0)</f>
        <v>0</v>
      </c>
      <c r="O467" s="6">
        <f>IFERROR(__xludf.DUMMYFUNCTION("IF(REGEXMATCH(A467, ""^00-""), 0, IF(AND(NE(F467, """"), EQ(G467, """")), 1, 0))"),0.0)</f>
        <v>0</v>
      </c>
      <c r="P467" s="6">
        <f>IFERROR(__xludf.DUMMYFUNCTION("IF(REGEXMATCH(A467, ""^00-""), 0, IF(AND(EQ(F467, """"), NE(G467, """")), 1, 0))"),1.0)</f>
        <v>1</v>
      </c>
      <c r="Q467" s="6">
        <f>IFERROR(__xludf.DUMMYFUNCTION("IF(REGEXMATCH(A467, ""^00-""), 0, IF(AND(NE(F467, """"), NE(G467, """")), 1, 0))"),0.0)</f>
        <v>0</v>
      </c>
      <c r="R467" s="6">
        <f t="shared" si="1"/>
        <v>1</v>
      </c>
    </row>
    <row r="468">
      <c r="A468" s="1" t="s">
        <v>64</v>
      </c>
      <c r="B468" s="1" t="s">
        <v>1406</v>
      </c>
      <c r="C468" s="1">
        <v>138.0</v>
      </c>
      <c r="D468" s="1">
        <v>18.0</v>
      </c>
      <c r="E468" s="1">
        <v>156.0</v>
      </c>
      <c r="F468" s="7" t="s">
        <v>1407</v>
      </c>
      <c r="G468" s="7" t="s">
        <v>1408</v>
      </c>
      <c r="H468" s="1" t="s">
        <v>171</v>
      </c>
      <c r="I468" s="1" t="s">
        <v>172</v>
      </c>
      <c r="J468" s="1" t="s">
        <v>1395</v>
      </c>
      <c r="K468" s="1" t="s">
        <v>811</v>
      </c>
      <c r="L468" s="1"/>
      <c r="M468" s="1" t="s">
        <v>171</v>
      </c>
      <c r="N468" s="6">
        <f>IFERROR(__xludf.DUMMYFUNCTION("IF(REGEXMATCH(A468, ""^00-""), 0, IF(AND(EQ(F468, """"), EQ(G468, """")), 1, 0))"),0.0)</f>
        <v>0</v>
      </c>
      <c r="O468" s="6">
        <f>IFERROR(__xludf.DUMMYFUNCTION("IF(REGEXMATCH(A468, ""^00-""), 0, IF(AND(NE(F468, """"), EQ(G468, """")), 1, 0))"),0.0)</f>
        <v>0</v>
      </c>
      <c r="P468" s="6">
        <f>IFERROR(__xludf.DUMMYFUNCTION("IF(REGEXMATCH(A468, ""^00-""), 0, IF(AND(EQ(F468, """"), NE(G468, """")), 1, 0))"),0.0)</f>
        <v>0</v>
      </c>
      <c r="Q468" s="6">
        <f>IFERROR(__xludf.DUMMYFUNCTION("IF(REGEXMATCH(A468, ""^00-""), 0, IF(AND(NE(F468, """"), NE(G468, """")), 1, 0))"),1.0)</f>
        <v>1</v>
      </c>
      <c r="R468" s="6">
        <f t="shared" si="1"/>
        <v>1</v>
      </c>
    </row>
    <row r="469">
      <c r="A469" s="1" t="s">
        <v>64</v>
      </c>
      <c r="B469" s="1" t="s">
        <v>1409</v>
      </c>
      <c r="C469" s="1">
        <v>156.0</v>
      </c>
      <c r="D469" s="1">
        <v>0.0</v>
      </c>
      <c r="E469" s="1">
        <v>156.0</v>
      </c>
      <c r="F469" s="7" t="s">
        <v>1410</v>
      </c>
      <c r="G469" s="7" t="s">
        <v>1411</v>
      </c>
      <c r="H469" s="1" t="s">
        <v>235</v>
      </c>
      <c r="I469" s="1" t="s">
        <v>172</v>
      </c>
      <c r="J469" s="1" t="s">
        <v>1395</v>
      </c>
      <c r="K469" s="1" t="s">
        <v>811</v>
      </c>
      <c r="L469" s="1"/>
      <c r="M469" s="1" t="s">
        <v>1409</v>
      </c>
      <c r="N469" s="6">
        <f>IFERROR(__xludf.DUMMYFUNCTION("IF(REGEXMATCH(A469, ""^00-""), 0, IF(AND(EQ(F469, """"), EQ(G469, """")), 1, 0))"),0.0)</f>
        <v>0</v>
      </c>
      <c r="O469" s="6">
        <f>IFERROR(__xludf.DUMMYFUNCTION("IF(REGEXMATCH(A469, ""^00-""), 0, IF(AND(NE(F469, """"), EQ(G469, """")), 1, 0))"),0.0)</f>
        <v>0</v>
      </c>
      <c r="P469" s="6">
        <f>IFERROR(__xludf.DUMMYFUNCTION("IF(REGEXMATCH(A469, ""^00-""), 0, IF(AND(EQ(F469, """"), NE(G469, """")), 1, 0))"),0.0)</f>
        <v>0</v>
      </c>
      <c r="Q469" s="6">
        <f>IFERROR(__xludf.DUMMYFUNCTION("IF(REGEXMATCH(A469, ""^00-""), 0, IF(AND(NE(F469, """"), NE(G469, """")), 1, 0))"),1.0)</f>
        <v>1</v>
      </c>
      <c r="R469" s="6">
        <f t="shared" si="1"/>
        <v>1</v>
      </c>
    </row>
    <row r="470">
      <c r="A470" s="1" t="s">
        <v>64</v>
      </c>
      <c r="B470" s="1" t="s">
        <v>1412</v>
      </c>
      <c r="C470" s="1">
        <v>135.0</v>
      </c>
      <c r="D470" s="1">
        <v>21.0</v>
      </c>
      <c r="E470" s="1">
        <v>156.0</v>
      </c>
      <c r="F470" s="7" t="s">
        <v>1413</v>
      </c>
      <c r="G470" s="7" t="s">
        <v>1414</v>
      </c>
      <c r="H470" s="1" t="s">
        <v>171</v>
      </c>
      <c r="I470" s="1" t="s">
        <v>172</v>
      </c>
      <c r="J470" s="1" t="s">
        <v>1395</v>
      </c>
      <c r="K470" s="1" t="s">
        <v>811</v>
      </c>
      <c r="L470" s="1"/>
      <c r="M470" s="1" t="s">
        <v>171</v>
      </c>
      <c r="N470" s="6">
        <f>IFERROR(__xludf.DUMMYFUNCTION("IF(REGEXMATCH(A470, ""^00-""), 0, IF(AND(EQ(F470, """"), EQ(G470, """")), 1, 0))"),0.0)</f>
        <v>0</v>
      </c>
      <c r="O470" s="6">
        <f>IFERROR(__xludf.DUMMYFUNCTION("IF(REGEXMATCH(A470, ""^00-""), 0, IF(AND(NE(F470, """"), EQ(G470, """")), 1, 0))"),0.0)</f>
        <v>0</v>
      </c>
      <c r="P470" s="6">
        <f>IFERROR(__xludf.DUMMYFUNCTION("IF(REGEXMATCH(A470, ""^00-""), 0, IF(AND(EQ(F470, """"), NE(G470, """")), 1, 0))"),0.0)</f>
        <v>0</v>
      </c>
      <c r="Q470" s="6">
        <f>IFERROR(__xludf.DUMMYFUNCTION("IF(REGEXMATCH(A470, ""^00-""), 0, IF(AND(NE(F470, """"), NE(G470, """")), 1, 0))"),1.0)</f>
        <v>1</v>
      </c>
      <c r="R470" s="6">
        <f t="shared" si="1"/>
        <v>1</v>
      </c>
    </row>
    <row r="471">
      <c r="A471" s="1" t="s">
        <v>64</v>
      </c>
      <c r="B471" s="1" t="s">
        <v>1415</v>
      </c>
      <c r="C471" s="1">
        <v>85.0</v>
      </c>
      <c r="D471" s="1">
        <v>71.0</v>
      </c>
      <c r="E471" s="1">
        <v>156.0</v>
      </c>
      <c r="F471" s="7" t="s">
        <v>1416</v>
      </c>
      <c r="G471" s="7" t="s">
        <v>1417</v>
      </c>
      <c r="H471" s="1" t="s">
        <v>171</v>
      </c>
      <c r="I471" s="1" t="s">
        <v>172</v>
      </c>
      <c r="J471" s="1" t="s">
        <v>1395</v>
      </c>
      <c r="K471" s="1" t="s">
        <v>811</v>
      </c>
      <c r="L471" s="1"/>
      <c r="M471" s="1" t="s">
        <v>171</v>
      </c>
      <c r="N471" s="6">
        <f>IFERROR(__xludf.DUMMYFUNCTION("IF(REGEXMATCH(A471, ""^00-""), 0, IF(AND(EQ(F471, """"), EQ(G471, """")), 1, 0))"),0.0)</f>
        <v>0</v>
      </c>
      <c r="O471" s="6">
        <f>IFERROR(__xludf.DUMMYFUNCTION("IF(REGEXMATCH(A471, ""^00-""), 0, IF(AND(NE(F471, """"), EQ(G471, """")), 1, 0))"),0.0)</f>
        <v>0</v>
      </c>
      <c r="P471" s="6">
        <f>IFERROR(__xludf.DUMMYFUNCTION("IF(REGEXMATCH(A471, ""^00-""), 0, IF(AND(EQ(F471, """"), NE(G471, """")), 1, 0))"),0.0)</f>
        <v>0</v>
      </c>
      <c r="Q471" s="6">
        <f>IFERROR(__xludf.DUMMYFUNCTION("IF(REGEXMATCH(A471, ""^00-""), 0, IF(AND(NE(F471, """"), NE(G471, """")), 1, 0))"),1.0)</f>
        <v>1</v>
      </c>
      <c r="R471" s="6">
        <f t="shared" si="1"/>
        <v>1</v>
      </c>
    </row>
    <row r="472">
      <c r="A472" s="1" t="s">
        <v>66</v>
      </c>
      <c r="B472" s="1" t="s">
        <v>1418</v>
      </c>
      <c r="C472" s="1">
        <v>249.0</v>
      </c>
      <c r="D472" s="1">
        <v>0.0</v>
      </c>
      <c r="E472" s="1">
        <v>249.0</v>
      </c>
      <c r="F472" s="7"/>
      <c r="G472" s="7" t="s">
        <v>1419</v>
      </c>
      <c r="H472" s="1" t="s">
        <v>182</v>
      </c>
      <c r="I472" s="1" t="s">
        <v>172</v>
      </c>
      <c r="J472" s="1" t="s">
        <v>1420</v>
      </c>
      <c r="K472" s="1" t="s">
        <v>811</v>
      </c>
      <c r="L472" s="1"/>
      <c r="M472" s="1" t="s">
        <v>185</v>
      </c>
      <c r="N472" s="6">
        <f>IFERROR(__xludf.DUMMYFUNCTION("IF(REGEXMATCH(A472, ""^00-""), 0, IF(AND(EQ(F472, """"), EQ(G472, """")), 1, 0))"),0.0)</f>
        <v>0</v>
      </c>
      <c r="O472" s="6">
        <f>IFERROR(__xludf.DUMMYFUNCTION("IF(REGEXMATCH(A472, ""^00-""), 0, IF(AND(NE(F472, """"), EQ(G472, """")), 1, 0))"),0.0)</f>
        <v>0</v>
      </c>
      <c r="P472" s="6">
        <f>IFERROR(__xludf.DUMMYFUNCTION("IF(REGEXMATCH(A472, ""^00-""), 0, IF(AND(EQ(F472, """"), NE(G472, """")), 1, 0))"),1.0)</f>
        <v>1</v>
      </c>
      <c r="Q472" s="6">
        <f>IFERROR(__xludf.DUMMYFUNCTION("IF(REGEXMATCH(A472, ""^00-""), 0, IF(AND(NE(F472, """"), NE(G472, """")), 1, 0))"),0.0)</f>
        <v>0</v>
      </c>
      <c r="R472" s="6">
        <f t="shared" si="1"/>
        <v>1</v>
      </c>
    </row>
    <row r="473">
      <c r="A473" s="1" t="s">
        <v>66</v>
      </c>
      <c r="B473" s="1" t="s">
        <v>1421</v>
      </c>
      <c r="C473" s="1">
        <v>249.0</v>
      </c>
      <c r="D473" s="1">
        <v>0.0</v>
      </c>
      <c r="E473" s="1">
        <v>249.0</v>
      </c>
      <c r="F473" s="7"/>
      <c r="G473" s="7" t="s">
        <v>1422</v>
      </c>
      <c r="H473" s="1" t="s">
        <v>190</v>
      </c>
      <c r="I473" s="1" t="s">
        <v>172</v>
      </c>
      <c r="J473" s="1" t="s">
        <v>1420</v>
      </c>
      <c r="K473" s="1" t="s">
        <v>811</v>
      </c>
      <c r="L473" s="1"/>
      <c r="M473" s="1" t="s">
        <v>191</v>
      </c>
      <c r="N473" s="6">
        <f>IFERROR(__xludf.DUMMYFUNCTION("IF(REGEXMATCH(A473, ""^00-""), 0, IF(AND(EQ(F473, """"), EQ(G473, """")), 1, 0))"),0.0)</f>
        <v>0</v>
      </c>
      <c r="O473" s="6">
        <f>IFERROR(__xludf.DUMMYFUNCTION("IF(REGEXMATCH(A473, ""^00-""), 0, IF(AND(NE(F473, """"), EQ(G473, """")), 1, 0))"),0.0)</f>
        <v>0</v>
      </c>
      <c r="P473" s="6">
        <f>IFERROR(__xludf.DUMMYFUNCTION("IF(REGEXMATCH(A473, ""^00-""), 0, IF(AND(EQ(F473, """"), NE(G473, """")), 1, 0))"),1.0)</f>
        <v>1</v>
      </c>
      <c r="Q473" s="6">
        <f>IFERROR(__xludf.DUMMYFUNCTION("IF(REGEXMATCH(A473, ""^00-""), 0, IF(AND(NE(F473, """"), NE(G473, """")), 1, 0))"),0.0)</f>
        <v>0</v>
      </c>
      <c r="R473" s="6">
        <f t="shared" si="1"/>
        <v>1</v>
      </c>
    </row>
    <row r="474">
      <c r="A474" s="1" t="s">
        <v>66</v>
      </c>
      <c r="B474" s="1" t="s">
        <v>1423</v>
      </c>
      <c r="C474" s="1">
        <v>20.0</v>
      </c>
      <c r="D474" s="1">
        <v>229.0</v>
      </c>
      <c r="E474" s="1">
        <v>249.0</v>
      </c>
      <c r="F474" s="7"/>
      <c r="G474" s="7" t="s">
        <v>1424</v>
      </c>
      <c r="H474" s="1" t="s">
        <v>235</v>
      </c>
      <c r="I474" s="1" t="s">
        <v>172</v>
      </c>
      <c r="J474" s="1" t="s">
        <v>1420</v>
      </c>
      <c r="K474" s="1" t="s">
        <v>811</v>
      </c>
      <c r="L474" s="1"/>
      <c r="M474" s="1" t="s">
        <v>1423</v>
      </c>
      <c r="N474" s="6">
        <f>IFERROR(__xludf.DUMMYFUNCTION("IF(REGEXMATCH(A474, ""^00-""), 0, IF(AND(EQ(F474, """"), EQ(G474, """")), 1, 0))"),0.0)</f>
        <v>0</v>
      </c>
      <c r="O474" s="6">
        <f>IFERROR(__xludf.DUMMYFUNCTION("IF(REGEXMATCH(A474, ""^00-""), 0, IF(AND(NE(F474, """"), EQ(G474, """")), 1, 0))"),0.0)</f>
        <v>0</v>
      </c>
      <c r="P474" s="6">
        <f>IFERROR(__xludf.DUMMYFUNCTION("IF(REGEXMATCH(A474, ""^00-""), 0, IF(AND(EQ(F474, """"), NE(G474, """")), 1, 0))"),1.0)</f>
        <v>1</v>
      </c>
      <c r="Q474" s="6">
        <f>IFERROR(__xludf.DUMMYFUNCTION("IF(REGEXMATCH(A474, ""^00-""), 0, IF(AND(NE(F474, """"), NE(G474, """")), 1, 0))"),0.0)</f>
        <v>0</v>
      </c>
      <c r="R474" s="6">
        <f t="shared" si="1"/>
        <v>1</v>
      </c>
    </row>
    <row r="475">
      <c r="A475" s="1" t="s">
        <v>66</v>
      </c>
      <c r="B475" s="1" t="s">
        <v>1425</v>
      </c>
      <c r="C475" s="1">
        <v>16.0</v>
      </c>
      <c r="D475" s="1">
        <v>233.0</v>
      </c>
      <c r="E475" s="1">
        <v>249.0</v>
      </c>
      <c r="F475" s="7"/>
      <c r="G475" s="7" t="s">
        <v>1426</v>
      </c>
      <c r="H475" s="1" t="s">
        <v>171</v>
      </c>
      <c r="I475" s="1" t="s">
        <v>172</v>
      </c>
      <c r="J475" s="1" t="s">
        <v>1420</v>
      </c>
      <c r="K475" s="1" t="s">
        <v>811</v>
      </c>
      <c r="L475" s="1"/>
      <c r="M475" s="1" t="s">
        <v>171</v>
      </c>
      <c r="N475" s="6">
        <f>IFERROR(__xludf.DUMMYFUNCTION("IF(REGEXMATCH(A475, ""^00-""), 0, IF(AND(EQ(F475, """"), EQ(G475, """")), 1, 0))"),0.0)</f>
        <v>0</v>
      </c>
      <c r="O475" s="6">
        <f>IFERROR(__xludf.DUMMYFUNCTION("IF(REGEXMATCH(A475, ""^00-""), 0, IF(AND(NE(F475, """"), EQ(G475, """")), 1, 0))"),0.0)</f>
        <v>0</v>
      </c>
      <c r="P475" s="6">
        <f>IFERROR(__xludf.DUMMYFUNCTION("IF(REGEXMATCH(A475, ""^00-""), 0, IF(AND(EQ(F475, """"), NE(G475, """")), 1, 0))"),1.0)</f>
        <v>1</v>
      </c>
      <c r="Q475" s="6">
        <f>IFERROR(__xludf.DUMMYFUNCTION("IF(REGEXMATCH(A475, ""^00-""), 0, IF(AND(NE(F475, """"), NE(G475, """")), 1, 0))"),0.0)</f>
        <v>0</v>
      </c>
      <c r="R475" s="6">
        <f t="shared" si="1"/>
        <v>1</v>
      </c>
    </row>
    <row r="476">
      <c r="A476" s="1" t="s">
        <v>66</v>
      </c>
      <c r="B476" s="1" t="s">
        <v>1427</v>
      </c>
      <c r="C476" s="1">
        <v>20.0</v>
      </c>
      <c r="D476" s="1">
        <v>229.0</v>
      </c>
      <c r="E476" s="1">
        <v>249.0</v>
      </c>
      <c r="F476" s="7"/>
      <c r="G476" s="7" t="s">
        <v>1428</v>
      </c>
      <c r="H476" s="1" t="s">
        <v>250</v>
      </c>
      <c r="I476" s="1" t="s">
        <v>172</v>
      </c>
      <c r="J476" s="1" t="s">
        <v>1420</v>
      </c>
      <c r="K476" s="1" t="s">
        <v>811</v>
      </c>
      <c r="L476" s="1"/>
      <c r="M476" s="1" t="s">
        <v>250</v>
      </c>
      <c r="N476" s="6">
        <f>IFERROR(__xludf.DUMMYFUNCTION("IF(REGEXMATCH(A476, ""^00-""), 0, IF(AND(EQ(F476, """"), EQ(G476, """")), 1, 0))"),0.0)</f>
        <v>0</v>
      </c>
      <c r="O476" s="6">
        <f>IFERROR(__xludf.DUMMYFUNCTION("IF(REGEXMATCH(A476, ""^00-""), 0, IF(AND(NE(F476, """"), EQ(G476, """")), 1, 0))"),0.0)</f>
        <v>0</v>
      </c>
      <c r="P476" s="6">
        <f>IFERROR(__xludf.DUMMYFUNCTION("IF(REGEXMATCH(A476, ""^00-""), 0, IF(AND(EQ(F476, """"), NE(G476, """")), 1, 0))"),1.0)</f>
        <v>1</v>
      </c>
      <c r="Q476" s="6">
        <f>IFERROR(__xludf.DUMMYFUNCTION("IF(REGEXMATCH(A476, ""^00-""), 0, IF(AND(NE(F476, """"), NE(G476, """")), 1, 0))"),0.0)</f>
        <v>0</v>
      </c>
      <c r="R476" s="6">
        <f t="shared" si="1"/>
        <v>1</v>
      </c>
    </row>
    <row r="477">
      <c r="A477" s="1" t="s">
        <v>66</v>
      </c>
      <c r="B477" s="1" t="s">
        <v>1429</v>
      </c>
      <c r="C477" s="1">
        <v>19.0</v>
      </c>
      <c r="D477" s="1">
        <v>230.0</v>
      </c>
      <c r="E477" s="1">
        <v>249.0</v>
      </c>
      <c r="F477" s="7"/>
      <c r="G477" s="7" t="s">
        <v>1430</v>
      </c>
      <c r="H477" s="1" t="s">
        <v>254</v>
      </c>
      <c r="I477" s="1" t="s">
        <v>172</v>
      </c>
      <c r="J477" s="1" t="s">
        <v>1420</v>
      </c>
      <c r="K477" s="1" t="s">
        <v>811</v>
      </c>
      <c r="L477" s="1"/>
      <c r="M477" s="1" t="s">
        <v>254</v>
      </c>
      <c r="N477" s="6">
        <f>IFERROR(__xludf.DUMMYFUNCTION("IF(REGEXMATCH(A477, ""^00-""), 0, IF(AND(EQ(F477, """"), EQ(G477, """")), 1, 0))"),0.0)</f>
        <v>0</v>
      </c>
      <c r="O477" s="6">
        <f>IFERROR(__xludf.DUMMYFUNCTION("IF(REGEXMATCH(A477, ""^00-""), 0, IF(AND(NE(F477, """"), EQ(G477, """")), 1, 0))"),0.0)</f>
        <v>0</v>
      </c>
      <c r="P477" s="6">
        <f>IFERROR(__xludf.DUMMYFUNCTION("IF(REGEXMATCH(A477, ""^00-""), 0, IF(AND(EQ(F477, """"), NE(G477, """")), 1, 0))"),1.0)</f>
        <v>1</v>
      </c>
      <c r="Q477" s="6">
        <f>IFERROR(__xludf.DUMMYFUNCTION("IF(REGEXMATCH(A477, ""^00-""), 0, IF(AND(NE(F477, """"), NE(G477, """")), 1, 0))"),0.0)</f>
        <v>0</v>
      </c>
      <c r="R477" s="6">
        <f t="shared" si="1"/>
        <v>1</v>
      </c>
    </row>
    <row r="478">
      <c r="A478" s="1" t="s">
        <v>66</v>
      </c>
      <c r="B478" s="1" t="s">
        <v>1431</v>
      </c>
      <c r="C478" s="1">
        <v>14.0</v>
      </c>
      <c r="D478" s="1">
        <v>235.0</v>
      </c>
      <c r="E478" s="1">
        <v>249.0</v>
      </c>
      <c r="F478" s="7"/>
      <c r="G478" s="7" t="s">
        <v>1432</v>
      </c>
      <c r="H478" s="1" t="s">
        <v>250</v>
      </c>
      <c r="I478" s="1" t="s">
        <v>172</v>
      </c>
      <c r="J478" s="1" t="s">
        <v>1420</v>
      </c>
      <c r="K478" s="1" t="s">
        <v>811</v>
      </c>
      <c r="L478" s="1"/>
      <c r="M478" s="1" t="s">
        <v>250</v>
      </c>
      <c r="N478" s="6">
        <f>IFERROR(__xludf.DUMMYFUNCTION("IF(REGEXMATCH(A478, ""^00-""), 0, IF(AND(EQ(F478, """"), EQ(G478, """")), 1, 0))"),0.0)</f>
        <v>0</v>
      </c>
      <c r="O478" s="6">
        <f>IFERROR(__xludf.DUMMYFUNCTION("IF(REGEXMATCH(A478, ""^00-""), 0, IF(AND(NE(F478, """"), EQ(G478, """")), 1, 0))"),0.0)</f>
        <v>0</v>
      </c>
      <c r="P478" s="6">
        <f>IFERROR(__xludf.DUMMYFUNCTION("IF(REGEXMATCH(A478, ""^00-""), 0, IF(AND(EQ(F478, """"), NE(G478, """")), 1, 0))"),1.0)</f>
        <v>1</v>
      </c>
      <c r="Q478" s="6">
        <f>IFERROR(__xludf.DUMMYFUNCTION("IF(REGEXMATCH(A478, ""^00-""), 0, IF(AND(NE(F478, """"), NE(G478, """")), 1, 0))"),0.0)</f>
        <v>0</v>
      </c>
      <c r="R478" s="6">
        <f t="shared" si="1"/>
        <v>1</v>
      </c>
    </row>
    <row r="479">
      <c r="A479" s="1" t="s">
        <v>66</v>
      </c>
      <c r="B479" s="1" t="s">
        <v>1433</v>
      </c>
      <c r="C479" s="1">
        <v>14.0</v>
      </c>
      <c r="D479" s="1">
        <v>235.0</v>
      </c>
      <c r="E479" s="1">
        <v>249.0</v>
      </c>
      <c r="F479" s="7"/>
      <c r="G479" s="7" t="s">
        <v>1434</v>
      </c>
      <c r="H479" s="1" t="s">
        <v>254</v>
      </c>
      <c r="I479" s="1" t="s">
        <v>172</v>
      </c>
      <c r="J479" s="1" t="s">
        <v>1420</v>
      </c>
      <c r="K479" s="1" t="s">
        <v>811</v>
      </c>
      <c r="L479" s="1"/>
      <c r="M479" s="1" t="s">
        <v>254</v>
      </c>
      <c r="N479" s="6">
        <f>IFERROR(__xludf.DUMMYFUNCTION("IF(REGEXMATCH(A479, ""^00-""), 0, IF(AND(EQ(F479, """"), EQ(G479, """")), 1, 0))"),0.0)</f>
        <v>0</v>
      </c>
      <c r="O479" s="6">
        <f>IFERROR(__xludf.DUMMYFUNCTION("IF(REGEXMATCH(A479, ""^00-""), 0, IF(AND(NE(F479, """"), EQ(G479, """")), 1, 0))"),0.0)</f>
        <v>0</v>
      </c>
      <c r="P479" s="6">
        <f>IFERROR(__xludf.DUMMYFUNCTION("IF(REGEXMATCH(A479, ""^00-""), 0, IF(AND(EQ(F479, """"), NE(G479, """")), 1, 0))"),1.0)</f>
        <v>1</v>
      </c>
      <c r="Q479" s="6">
        <f>IFERROR(__xludf.DUMMYFUNCTION("IF(REGEXMATCH(A479, ""^00-""), 0, IF(AND(NE(F479, """"), NE(G479, """")), 1, 0))"),0.0)</f>
        <v>0</v>
      </c>
      <c r="R479" s="6">
        <f t="shared" si="1"/>
        <v>1</v>
      </c>
    </row>
    <row r="480">
      <c r="A480" s="1" t="s">
        <v>66</v>
      </c>
      <c r="B480" s="1" t="s">
        <v>1435</v>
      </c>
      <c r="C480" s="1">
        <v>12.0</v>
      </c>
      <c r="D480" s="1">
        <v>237.0</v>
      </c>
      <c r="E480" s="1">
        <v>249.0</v>
      </c>
      <c r="F480" s="7"/>
      <c r="G480" s="7" t="s">
        <v>1436</v>
      </c>
      <c r="H480" s="1" t="s">
        <v>182</v>
      </c>
      <c r="I480" s="1" t="s">
        <v>172</v>
      </c>
      <c r="J480" s="1" t="s">
        <v>1420</v>
      </c>
      <c r="K480" s="1" t="s">
        <v>811</v>
      </c>
      <c r="L480" s="1"/>
      <c r="M480" s="1" t="s">
        <v>257</v>
      </c>
      <c r="N480" s="6">
        <f>IFERROR(__xludf.DUMMYFUNCTION("IF(REGEXMATCH(A480, ""^00-""), 0, IF(AND(EQ(F480, """"), EQ(G480, """")), 1, 0))"),0.0)</f>
        <v>0</v>
      </c>
      <c r="O480" s="6">
        <f>IFERROR(__xludf.DUMMYFUNCTION("IF(REGEXMATCH(A480, ""^00-""), 0, IF(AND(NE(F480, """"), EQ(G480, """")), 1, 0))"),0.0)</f>
        <v>0</v>
      </c>
      <c r="P480" s="6">
        <f>IFERROR(__xludf.DUMMYFUNCTION("IF(REGEXMATCH(A480, ""^00-""), 0, IF(AND(EQ(F480, """"), NE(G480, """")), 1, 0))"),1.0)</f>
        <v>1</v>
      </c>
      <c r="Q480" s="6">
        <f>IFERROR(__xludf.DUMMYFUNCTION("IF(REGEXMATCH(A480, ""^00-""), 0, IF(AND(NE(F480, """"), NE(G480, """")), 1, 0))"),0.0)</f>
        <v>0</v>
      </c>
      <c r="R480" s="6">
        <f t="shared" si="1"/>
        <v>1</v>
      </c>
    </row>
    <row r="481">
      <c r="A481" s="1" t="s">
        <v>68</v>
      </c>
      <c r="B481" s="1" t="s">
        <v>1437</v>
      </c>
      <c r="C481" s="1">
        <v>78.0</v>
      </c>
      <c r="D481" s="1">
        <v>454.0</v>
      </c>
      <c r="E481" s="1">
        <v>532.0</v>
      </c>
      <c r="F481" s="7" t="s">
        <v>1438</v>
      </c>
      <c r="G481" s="7" t="s">
        <v>1439</v>
      </c>
      <c r="H481" s="1" t="s">
        <v>250</v>
      </c>
      <c r="I481" s="1" t="s">
        <v>172</v>
      </c>
      <c r="J481" s="1" t="s">
        <v>1440</v>
      </c>
      <c r="K481" s="1" t="s">
        <v>811</v>
      </c>
      <c r="L481" s="1"/>
      <c r="M481" s="1" t="s">
        <v>250</v>
      </c>
      <c r="N481" s="6">
        <f>IFERROR(__xludf.DUMMYFUNCTION("IF(REGEXMATCH(A481, ""^00-""), 0, IF(AND(EQ(F481, """"), EQ(G481, """")), 1, 0))"),0.0)</f>
        <v>0</v>
      </c>
      <c r="O481" s="6">
        <f>IFERROR(__xludf.DUMMYFUNCTION("IF(REGEXMATCH(A481, ""^00-""), 0, IF(AND(NE(F481, """"), EQ(G481, """")), 1, 0))"),0.0)</f>
        <v>0</v>
      </c>
      <c r="P481" s="6">
        <f>IFERROR(__xludf.DUMMYFUNCTION("IF(REGEXMATCH(A481, ""^00-""), 0, IF(AND(EQ(F481, """"), NE(G481, """")), 1, 0))"),0.0)</f>
        <v>0</v>
      </c>
      <c r="Q481" s="6">
        <f>IFERROR(__xludf.DUMMYFUNCTION("IF(REGEXMATCH(A481, ""^00-""), 0, IF(AND(NE(F481, """"), NE(G481, """")), 1, 0))"),1.0)</f>
        <v>1</v>
      </c>
      <c r="R481" s="6">
        <f t="shared" si="1"/>
        <v>1</v>
      </c>
    </row>
    <row r="482">
      <c r="A482" s="1" t="s">
        <v>68</v>
      </c>
      <c r="B482" s="1" t="s">
        <v>1441</v>
      </c>
      <c r="C482" s="1">
        <v>78.0</v>
      </c>
      <c r="D482" s="1">
        <v>454.0</v>
      </c>
      <c r="E482" s="1">
        <v>532.0</v>
      </c>
      <c r="F482" s="7" t="s">
        <v>1442</v>
      </c>
      <c r="G482" s="7" t="s">
        <v>1443</v>
      </c>
      <c r="H482" s="1" t="s">
        <v>254</v>
      </c>
      <c r="I482" s="1" t="s">
        <v>172</v>
      </c>
      <c r="J482" s="1" t="s">
        <v>1440</v>
      </c>
      <c r="K482" s="1" t="s">
        <v>811</v>
      </c>
      <c r="L482" s="1"/>
      <c r="M482" s="1" t="s">
        <v>254</v>
      </c>
      <c r="N482" s="6">
        <f>IFERROR(__xludf.DUMMYFUNCTION("IF(REGEXMATCH(A482, ""^00-""), 0, IF(AND(EQ(F482, """"), EQ(G482, """")), 1, 0))"),0.0)</f>
        <v>0</v>
      </c>
      <c r="O482" s="6">
        <f>IFERROR(__xludf.DUMMYFUNCTION("IF(REGEXMATCH(A482, ""^00-""), 0, IF(AND(NE(F482, """"), EQ(G482, """")), 1, 0))"),0.0)</f>
        <v>0</v>
      </c>
      <c r="P482" s="6">
        <f>IFERROR(__xludf.DUMMYFUNCTION("IF(REGEXMATCH(A482, ""^00-""), 0, IF(AND(EQ(F482, """"), NE(G482, """")), 1, 0))"),0.0)</f>
        <v>0</v>
      </c>
      <c r="Q482" s="6">
        <f>IFERROR(__xludf.DUMMYFUNCTION("IF(REGEXMATCH(A482, ""^00-""), 0, IF(AND(NE(F482, """"), NE(G482, """")), 1, 0))"),1.0)</f>
        <v>1</v>
      </c>
      <c r="R482" s="6">
        <f t="shared" si="1"/>
        <v>1</v>
      </c>
    </row>
    <row r="483">
      <c r="A483" s="1" t="s">
        <v>68</v>
      </c>
      <c r="B483" s="1" t="s">
        <v>1444</v>
      </c>
      <c r="C483" s="1">
        <v>532.0</v>
      </c>
      <c r="D483" s="1">
        <v>0.0</v>
      </c>
      <c r="E483" s="1">
        <v>532.0</v>
      </c>
      <c r="F483" s="7" t="s">
        <v>1445</v>
      </c>
      <c r="G483" s="7" t="s">
        <v>1446</v>
      </c>
      <c r="H483" s="1" t="s">
        <v>190</v>
      </c>
      <c r="I483" s="1" t="s">
        <v>172</v>
      </c>
      <c r="J483" s="1" t="s">
        <v>1440</v>
      </c>
      <c r="K483" s="1" t="s">
        <v>811</v>
      </c>
      <c r="L483" s="1"/>
      <c r="M483" s="1" t="s">
        <v>191</v>
      </c>
      <c r="N483" s="6">
        <f>IFERROR(__xludf.DUMMYFUNCTION("IF(REGEXMATCH(A483, ""^00-""), 0, IF(AND(EQ(F483, """"), EQ(G483, """")), 1, 0))"),0.0)</f>
        <v>0</v>
      </c>
      <c r="O483" s="6">
        <f>IFERROR(__xludf.DUMMYFUNCTION("IF(REGEXMATCH(A483, ""^00-""), 0, IF(AND(NE(F483, """"), EQ(G483, """")), 1, 0))"),0.0)</f>
        <v>0</v>
      </c>
      <c r="P483" s="6">
        <f>IFERROR(__xludf.DUMMYFUNCTION("IF(REGEXMATCH(A483, ""^00-""), 0, IF(AND(EQ(F483, """"), NE(G483, """")), 1, 0))"),0.0)</f>
        <v>0</v>
      </c>
      <c r="Q483" s="6">
        <f>IFERROR(__xludf.DUMMYFUNCTION("IF(REGEXMATCH(A483, ""^00-""), 0, IF(AND(NE(F483, """"), NE(G483, """")), 1, 0))"),1.0)</f>
        <v>1</v>
      </c>
      <c r="R483" s="6">
        <f t="shared" si="1"/>
        <v>1</v>
      </c>
    </row>
    <row r="484">
      <c r="A484" s="1" t="s">
        <v>68</v>
      </c>
      <c r="B484" s="1" t="s">
        <v>1447</v>
      </c>
      <c r="C484" s="1">
        <v>76.0</v>
      </c>
      <c r="D484" s="1">
        <v>456.0</v>
      </c>
      <c r="E484" s="1">
        <v>532.0</v>
      </c>
      <c r="F484" s="7" t="s">
        <v>1448</v>
      </c>
      <c r="G484" s="7" t="s">
        <v>1449</v>
      </c>
      <c r="H484" s="1" t="s">
        <v>190</v>
      </c>
      <c r="I484" s="1" t="s">
        <v>172</v>
      </c>
      <c r="J484" s="1" t="s">
        <v>1440</v>
      </c>
      <c r="K484" s="1" t="s">
        <v>811</v>
      </c>
      <c r="L484" s="1"/>
      <c r="M484" s="1" t="s">
        <v>191</v>
      </c>
      <c r="N484" s="6">
        <f>IFERROR(__xludf.DUMMYFUNCTION("IF(REGEXMATCH(A484, ""^00-""), 0, IF(AND(EQ(F484, """"), EQ(G484, """")), 1, 0))"),0.0)</f>
        <v>0</v>
      </c>
      <c r="O484" s="6">
        <f>IFERROR(__xludf.DUMMYFUNCTION("IF(REGEXMATCH(A484, ""^00-""), 0, IF(AND(NE(F484, """"), EQ(G484, """")), 1, 0))"),0.0)</f>
        <v>0</v>
      </c>
      <c r="P484" s="6">
        <f>IFERROR(__xludf.DUMMYFUNCTION("IF(REGEXMATCH(A484, ""^00-""), 0, IF(AND(EQ(F484, """"), NE(G484, """")), 1, 0))"),0.0)</f>
        <v>0</v>
      </c>
      <c r="Q484" s="6">
        <f>IFERROR(__xludf.DUMMYFUNCTION("IF(REGEXMATCH(A484, ""^00-""), 0, IF(AND(NE(F484, """"), NE(G484, """")), 1, 0))"),1.0)</f>
        <v>1</v>
      </c>
      <c r="R484" s="6">
        <f t="shared" si="1"/>
        <v>1</v>
      </c>
    </row>
    <row r="485">
      <c r="A485" s="1" t="s">
        <v>68</v>
      </c>
      <c r="B485" s="1" t="s">
        <v>1450</v>
      </c>
      <c r="C485" s="1">
        <v>76.0</v>
      </c>
      <c r="D485" s="1">
        <v>456.0</v>
      </c>
      <c r="E485" s="1">
        <v>532.0</v>
      </c>
      <c r="F485" s="7" t="s">
        <v>1451</v>
      </c>
      <c r="G485" s="7" t="s">
        <v>1449</v>
      </c>
      <c r="H485" s="1" t="s">
        <v>190</v>
      </c>
      <c r="I485" s="1" t="s">
        <v>172</v>
      </c>
      <c r="J485" s="1" t="s">
        <v>1440</v>
      </c>
      <c r="K485" s="1" t="s">
        <v>811</v>
      </c>
      <c r="L485" s="1"/>
      <c r="M485" s="1" t="s">
        <v>191</v>
      </c>
      <c r="N485" s="6">
        <f>IFERROR(__xludf.DUMMYFUNCTION("IF(REGEXMATCH(A485, ""^00-""), 0, IF(AND(EQ(F485, """"), EQ(G485, """")), 1, 0))"),0.0)</f>
        <v>0</v>
      </c>
      <c r="O485" s="6">
        <f>IFERROR(__xludf.DUMMYFUNCTION("IF(REGEXMATCH(A485, ""^00-""), 0, IF(AND(NE(F485, """"), EQ(G485, """")), 1, 0))"),0.0)</f>
        <v>0</v>
      </c>
      <c r="P485" s="6">
        <f>IFERROR(__xludf.DUMMYFUNCTION("IF(REGEXMATCH(A485, ""^00-""), 0, IF(AND(EQ(F485, """"), NE(G485, """")), 1, 0))"),0.0)</f>
        <v>0</v>
      </c>
      <c r="Q485" s="6">
        <f>IFERROR(__xludf.DUMMYFUNCTION("IF(REGEXMATCH(A485, ""^00-""), 0, IF(AND(NE(F485, """"), NE(G485, """")), 1, 0))"),1.0)</f>
        <v>1</v>
      </c>
      <c r="R485" s="6">
        <f t="shared" si="1"/>
        <v>1</v>
      </c>
    </row>
    <row r="486">
      <c r="A486" s="1" t="s">
        <v>68</v>
      </c>
      <c r="B486" s="1" t="s">
        <v>1452</v>
      </c>
      <c r="C486" s="1">
        <v>76.0</v>
      </c>
      <c r="D486" s="1">
        <v>456.0</v>
      </c>
      <c r="E486" s="1">
        <v>532.0</v>
      </c>
      <c r="F486" s="7" t="s">
        <v>1453</v>
      </c>
      <c r="G486" s="7" t="s">
        <v>1449</v>
      </c>
      <c r="H486" s="1" t="s">
        <v>190</v>
      </c>
      <c r="I486" s="1" t="s">
        <v>172</v>
      </c>
      <c r="J486" s="1" t="s">
        <v>1440</v>
      </c>
      <c r="K486" s="1" t="s">
        <v>811</v>
      </c>
      <c r="L486" s="1"/>
      <c r="M486" s="1" t="s">
        <v>191</v>
      </c>
      <c r="N486" s="6">
        <f>IFERROR(__xludf.DUMMYFUNCTION("IF(REGEXMATCH(A486, ""^00-""), 0, IF(AND(EQ(F486, """"), EQ(G486, """")), 1, 0))"),0.0)</f>
        <v>0</v>
      </c>
      <c r="O486" s="6">
        <f>IFERROR(__xludf.DUMMYFUNCTION("IF(REGEXMATCH(A486, ""^00-""), 0, IF(AND(NE(F486, """"), EQ(G486, """")), 1, 0))"),0.0)</f>
        <v>0</v>
      </c>
      <c r="P486" s="6">
        <f>IFERROR(__xludf.DUMMYFUNCTION("IF(REGEXMATCH(A486, ""^00-""), 0, IF(AND(EQ(F486, """"), NE(G486, """")), 1, 0))"),0.0)</f>
        <v>0</v>
      </c>
      <c r="Q486" s="6">
        <f>IFERROR(__xludf.DUMMYFUNCTION("IF(REGEXMATCH(A486, ""^00-""), 0, IF(AND(NE(F486, """"), NE(G486, """")), 1, 0))"),1.0)</f>
        <v>1</v>
      </c>
      <c r="R486" s="6">
        <f t="shared" si="1"/>
        <v>1</v>
      </c>
    </row>
    <row r="487">
      <c r="A487" s="1" t="s">
        <v>68</v>
      </c>
      <c r="B487" s="1" t="s">
        <v>1454</v>
      </c>
      <c r="C487" s="1">
        <v>76.0</v>
      </c>
      <c r="D487" s="1">
        <v>456.0</v>
      </c>
      <c r="E487" s="1">
        <v>532.0</v>
      </c>
      <c r="F487" s="7" t="s">
        <v>1455</v>
      </c>
      <c r="G487" s="7" t="s">
        <v>1449</v>
      </c>
      <c r="H487" s="1" t="s">
        <v>190</v>
      </c>
      <c r="I487" s="1" t="s">
        <v>172</v>
      </c>
      <c r="J487" s="1" t="s">
        <v>1440</v>
      </c>
      <c r="K487" s="1" t="s">
        <v>811</v>
      </c>
      <c r="L487" s="1"/>
      <c r="M487" s="1" t="s">
        <v>191</v>
      </c>
      <c r="N487" s="6">
        <f>IFERROR(__xludf.DUMMYFUNCTION("IF(REGEXMATCH(A487, ""^00-""), 0, IF(AND(EQ(F487, """"), EQ(G487, """")), 1, 0))"),0.0)</f>
        <v>0</v>
      </c>
      <c r="O487" s="6">
        <f>IFERROR(__xludf.DUMMYFUNCTION("IF(REGEXMATCH(A487, ""^00-""), 0, IF(AND(NE(F487, """"), EQ(G487, """")), 1, 0))"),0.0)</f>
        <v>0</v>
      </c>
      <c r="P487" s="6">
        <f>IFERROR(__xludf.DUMMYFUNCTION("IF(REGEXMATCH(A487, ""^00-""), 0, IF(AND(EQ(F487, """"), NE(G487, """")), 1, 0))"),0.0)</f>
        <v>0</v>
      </c>
      <c r="Q487" s="6">
        <f>IFERROR(__xludf.DUMMYFUNCTION("IF(REGEXMATCH(A487, ""^00-""), 0, IF(AND(NE(F487, """"), NE(G487, """")), 1, 0))"),1.0)</f>
        <v>1</v>
      </c>
      <c r="R487" s="6">
        <f t="shared" si="1"/>
        <v>1</v>
      </c>
    </row>
    <row r="488">
      <c r="A488" s="1" t="s">
        <v>68</v>
      </c>
      <c r="B488" s="1" t="s">
        <v>1456</v>
      </c>
      <c r="C488" s="1">
        <v>53.0</v>
      </c>
      <c r="D488" s="1">
        <v>479.0</v>
      </c>
      <c r="E488" s="1">
        <v>532.0</v>
      </c>
      <c r="F488" s="7"/>
      <c r="G488" s="7" t="s">
        <v>1449</v>
      </c>
      <c r="H488" s="1" t="s">
        <v>190</v>
      </c>
      <c r="I488" s="1" t="s">
        <v>172</v>
      </c>
      <c r="J488" s="1" t="s">
        <v>1440</v>
      </c>
      <c r="K488" s="1" t="s">
        <v>811</v>
      </c>
      <c r="L488" s="1"/>
      <c r="M488" s="1" t="s">
        <v>191</v>
      </c>
      <c r="N488" s="6">
        <f>IFERROR(__xludf.DUMMYFUNCTION("IF(REGEXMATCH(A488, ""^00-""), 0, IF(AND(EQ(F488, """"), EQ(G488, """")), 1, 0))"),0.0)</f>
        <v>0</v>
      </c>
      <c r="O488" s="6">
        <f>IFERROR(__xludf.DUMMYFUNCTION("IF(REGEXMATCH(A488, ""^00-""), 0, IF(AND(NE(F488, """"), EQ(G488, """")), 1, 0))"),0.0)</f>
        <v>0</v>
      </c>
      <c r="P488" s="6">
        <f>IFERROR(__xludf.DUMMYFUNCTION("IF(REGEXMATCH(A488, ""^00-""), 0, IF(AND(EQ(F488, """"), NE(G488, """")), 1, 0))"),1.0)</f>
        <v>1</v>
      </c>
      <c r="Q488" s="6">
        <f>IFERROR(__xludf.DUMMYFUNCTION("IF(REGEXMATCH(A488, ""^00-""), 0, IF(AND(NE(F488, """"), NE(G488, """")), 1, 0))"),0.0)</f>
        <v>0</v>
      </c>
      <c r="R488" s="6">
        <f t="shared" si="1"/>
        <v>1</v>
      </c>
    </row>
    <row r="489">
      <c r="A489" s="1" t="s">
        <v>68</v>
      </c>
      <c r="B489" s="1" t="s">
        <v>1457</v>
      </c>
      <c r="C489" s="1">
        <v>53.0</v>
      </c>
      <c r="D489" s="1">
        <v>479.0</v>
      </c>
      <c r="E489" s="1">
        <v>532.0</v>
      </c>
      <c r="F489" s="7"/>
      <c r="G489" s="7" t="s">
        <v>1449</v>
      </c>
      <c r="H489" s="1" t="s">
        <v>190</v>
      </c>
      <c r="I489" s="1" t="s">
        <v>172</v>
      </c>
      <c r="J489" s="1" t="s">
        <v>1440</v>
      </c>
      <c r="K489" s="1" t="s">
        <v>811</v>
      </c>
      <c r="L489" s="1"/>
      <c r="M489" s="1" t="s">
        <v>191</v>
      </c>
      <c r="N489" s="6">
        <f>IFERROR(__xludf.DUMMYFUNCTION("IF(REGEXMATCH(A489, ""^00-""), 0, IF(AND(EQ(F489, """"), EQ(G489, """")), 1, 0))"),0.0)</f>
        <v>0</v>
      </c>
      <c r="O489" s="6">
        <f>IFERROR(__xludf.DUMMYFUNCTION("IF(REGEXMATCH(A489, ""^00-""), 0, IF(AND(NE(F489, """"), EQ(G489, """")), 1, 0))"),0.0)</f>
        <v>0</v>
      </c>
      <c r="P489" s="6">
        <f>IFERROR(__xludf.DUMMYFUNCTION("IF(REGEXMATCH(A489, ""^00-""), 0, IF(AND(EQ(F489, """"), NE(G489, """")), 1, 0))"),1.0)</f>
        <v>1</v>
      </c>
      <c r="Q489" s="6">
        <f>IFERROR(__xludf.DUMMYFUNCTION("IF(REGEXMATCH(A489, ""^00-""), 0, IF(AND(NE(F489, """"), NE(G489, """")), 1, 0))"),0.0)</f>
        <v>0</v>
      </c>
      <c r="R489" s="6">
        <f t="shared" si="1"/>
        <v>1</v>
      </c>
    </row>
    <row r="490">
      <c r="A490" s="1" t="s">
        <v>68</v>
      </c>
      <c r="B490" s="1" t="s">
        <v>1458</v>
      </c>
      <c r="C490" s="1">
        <v>76.0</v>
      </c>
      <c r="D490" s="1">
        <v>456.0</v>
      </c>
      <c r="E490" s="1">
        <v>532.0</v>
      </c>
      <c r="F490" s="7" t="s">
        <v>1459</v>
      </c>
      <c r="G490" s="7" t="s">
        <v>1449</v>
      </c>
      <c r="H490" s="1" t="s">
        <v>190</v>
      </c>
      <c r="I490" s="1" t="s">
        <v>172</v>
      </c>
      <c r="J490" s="1" t="s">
        <v>1440</v>
      </c>
      <c r="K490" s="1" t="s">
        <v>811</v>
      </c>
      <c r="L490" s="1"/>
      <c r="M490" s="1" t="s">
        <v>191</v>
      </c>
      <c r="N490" s="6">
        <f>IFERROR(__xludf.DUMMYFUNCTION("IF(REGEXMATCH(A490, ""^00-""), 0, IF(AND(EQ(F490, """"), EQ(G490, """")), 1, 0))"),0.0)</f>
        <v>0</v>
      </c>
      <c r="O490" s="6">
        <f>IFERROR(__xludf.DUMMYFUNCTION("IF(REGEXMATCH(A490, ""^00-""), 0, IF(AND(NE(F490, """"), EQ(G490, """")), 1, 0))"),0.0)</f>
        <v>0</v>
      </c>
      <c r="P490" s="6">
        <f>IFERROR(__xludf.DUMMYFUNCTION("IF(REGEXMATCH(A490, ""^00-""), 0, IF(AND(EQ(F490, """"), NE(G490, """")), 1, 0))"),0.0)</f>
        <v>0</v>
      </c>
      <c r="Q490" s="6">
        <f>IFERROR(__xludf.DUMMYFUNCTION("IF(REGEXMATCH(A490, ""^00-""), 0, IF(AND(NE(F490, """"), NE(G490, """")), 1, 0))"),1.0)</f>
        <v>1</v>
      </c>
      <c r="R490" s="6">
        <f t="shared" si="1"/>
        <v>1</v>
      </c>
    </row>
    <row r="491">
      <c r="A491" s="1" t="s">
        <v>68</v>
      </c>
      <c r="B491" s="1" t="s">
        <v>1460</v>
      </c>
      <c r="C491" s="1">
        <v>76.0</v>
      </c>
      <c r="D491" s="1">
        <v>456.0</v>
      </c>
      <c r="E491" s="1">
        <v>532.0</v>
      </c>
      <c r="F491" s="7" t="s">
        <v>1461</v>
      </c>
      <c r="G491" s="7" t="s">
        <v>1449</v>
      </c>
      <c r="H491" s="1" t="s">
        <v>190</v>
      </c>
      <c r="I491" s="1" t="s">
        <v>172</v>
      </c>
      <c r="J491" s="1" t="s">
        <v>1440</v>
      </c>
      <c r="K491" s="1" t="s">
        <v>811</v>
      </c>
      <c r="L491" s="1"/>
      <c r="M491" s="1" t="s">
        <v>191</v>
      </c>
      <c r="N491" s="6">
        <f>IFERROR(__xludf.DUMMYFUNCTION("IF(REGEXMATCH(A491, ""^00-""), 0, IF(AND(EQ(F491, """"), EQ(G491, """")), 1, 0))"),0.0)</f>
        <v>0</v>
      </c>
      <c r="O491" s="6">
        <f>IFERROR(__xludf.DUMMYFUNCTION("IF(REGEXMATCH(A491, ""^00-""), 0, IF(AND(NE(F491, """"), EQ(G491, """")), 1, 0))"),0.0)</f>
        <v>0</v>
      </c>
      <c r="P491" s="6">
        <f>IFERROR(__xludf.DUMMYFUNCTION("IF(REGEXMATCH(A491, ""^00-""), 0, IF(AND(EQ(F491, """"), NE(G491, """")), 1, 0))"),0.0)</f>
        <v>0</v>
      </c>
      <c r="Q491" s="6">
        <f>IFERROR(__xludf.DUMMYFUNCTION("IF(REGEXMATCH(A491, ""^00-""), 0, IF(AND(NE(F491, """"), NE(G491, """")), 1, 0))"),1.0)</f>
        <v>1</v>
      </c>
      <c r="R491" s="6">
        <f t="shared" si="1"/>
        <v>1</v>
      </c>
    </row>
    <row r="492">
      <c r="A492" s="1" t="s">
        <v>68</v>
      </c>
      <c r="B492" s="1" t="s">
        <v>1462</v>
      </c>
      <c r="C492" s="1">
        <v>18.0</v>
      </c>
      <c r="D492" s="1">
        <v>514.0</v>
      </c>
      <c r="E492" s="1">
        <v>532.0</v>
      </c>
      <c r="F492" s="7" t="s">
        <v>1463</v>
      </c>
      <c r="G492" s="7" t="s">
        <v>1464</v>
      </c>
      <c r="H492" s="1" t="s">
        <v>171</v>
      </c>
      <c r="I492" s="1" t="s">
        <v>172</v>
      </c>
      <c r="J492" s="1" t="s">
        <v>1440</v>
      </c>
      <c r="K492" s="1" t="s">
        <v>811</v>
      </c>
      <c r="L492" s="1"/>
      <c r="M492" s="1" t="s">
        <v>171</v>
      </c>
      <c r="N492" s="6">
        <f>IFERROR(__xludf.DUMMYFUNCTION("IF(REGEXMATCH(A492, ""^00-""), 0, IF(AND(EQ(F492, """"), EQ(G492, """")), 1, 0))"),0.0)</f>
        <v>0</v>
      </c>
      <c r="O492" s="6">
        <f>IFERROR(__xludf.DUMMYFUNCTION("IF(REGEXMATCH(A492, ""^00-""), 0, IF(AND(NE(F492, """"), EQ(G492, """")), 1, 0))"),0.0)</f>
        <v>0</v>
      </c>
      <c r="P492" s="6">
        <f>IFERROR(__xludf.DUMMYFUNCTION("IF(REGEXMATCH(A492, ""^00-""), 0, IF(AND(EQ(F492, """"), NE(G492, """")), 1, 0))"),0.0)</f>
        <v>0</v>
      </c>
      <c r="Q492" s="6">
        <f>IFERROR(__xludf.DUMMYFUNCTION("IF(REGEXMATCH(A492, ""^00-""), 0, IF(AND(NE(F492, """"), NE(G492, """")), 1, 0))"),1.0)</f>
        <v>1</v>
      </c>
      <c r="R492" s="6">
        <f t="shared" si="1"/>
        <v>1</v>
      </c>
    </row>
    <row r="493">
      <c r="A493" s="1" t="s">
        <v>70</v>
      </c>
      <c r="B493" s="1" t="s">
        <v>1465</v>
      </c>
      <c r="C493" s="1">
        <v>2333.0</v>
      </c>
      <c r="D493" s="1">
        <v>0.0</v>
      </c>
      <c r="E493" s="1">
        <v>2333.0</v>
      </c>
      <c r="F493" s="7" t="s">
        <v>1466</v>
      </c>
      <c r="G493" s="7" t="s">
        <v>1467</v>
      </c>
      <c r="H493" s="1" t="s">
        <v>182</v>
      </c>
      <c r="I493" s="1" t="s">
        <v>172</v>
      </c>
      <c r="J493" s="1" t="s">
        <v>575</v>
      </c>
      <c r="K493" s="1" t="s">
        <v>1468</v>
      </c>
      <c r="L493" s="1"/>
      <c r="M493" s="1" t="s">
        <v>185</v>
      </c>
      <c r="N493" s="6">
        <f>IFERROR(__xludf.DUMMYFUNCTION("IF(REGEXMATCH(A493, ""^00-""), 0, IF(AND(EQ(F493, """"), EQ(G493, """")), 1, 0))"),0.0)</f>
        <v>0</v>
      </c>
      <c r="O493" s="6">
        <f>IFERROR(__xludf.DUMMYFUNCTION("IF(REGEXMATCH(A493, ""^00-""), 0, IF(AND(NE(F493, """"), EQ(G493, """")), 1, 0))"),0.0)</f>
        <v>0</v>
      </c>
      <c r="P493" s="6">
        <f>IFERROR(__xludf.DUMMYFUNCTION("IF(REGEXMATCH(A493, ""^00-""), 0, IF(AND(EQ(F493, """"), NE(G493, """")), 1, 0))"),0.0)</f>
        <v>0</v>
      </c>
      <c r="Q493" s="6">
        <f>IFERROR(__xludf.DUMMYFUNCTION("IF(REGEXMATCH(A493, ""^00-""), 0, IF(AND(NE(F493, """"), NE(G493, """")), 1, 0))"),1.0)</f>
        <v>1</v>
      </c>
      <c r="R493" s="6">
        <f t="shared" si="1"/>
        <v>1</v>
      </c>
    </row>
    <row r="494">
      <c r="A494" s="1" t="s">
        <v>70</v>
      </c>
      <c r="B494" s="1" t="s">
        <v>1469</v>
      </c>
      <c r="C494" s="1">
        <v>2284.0</v>
      </c>
      <c r="D494" s="1">
        <v>49.0</v>
      </c>
      <c r="E494" s="1">
        <v>2333.0</v>
      </c>
      <c r="F494" s="7" t="s">
        <v>1470</v>
      </c>
      <c r="G494" s="7" t="s">
        <v>1471</v>
      </c>
      <c r="H494" s="1" t="s">
        <v>250</v>
      </c>
      <c r="I494" s="1" t="s">
        <v>172</v>
      </c>
      <c r="J494" s="1" t="s">
        <v>575</v>
      </c>
      <c r="K494" s="1" t="s">
        <v>1468</v>
      </c>
      <c r="L494" s="1"/>
      <c r="M494" s="1" t="s">
        <v>250</v>
      </c>
      <c r="N494" s="6">
        <f>IFERROR(__xludf.DUMMYFUNCTION("IF(REGEXMATCH(A494, ""^00-""), 0, IF(AND(EQ(F494, """"), EQ(G494, """")), 1, 0))"),0.0)</f>
        <v>0</v>
      </c>
      <c r="O494" s="6">
        <f>IFERROR(__xludf.DUMMYFUNCTION("IF(REGEXMATCH(A494, ""^00-""), 0, IF(AND(NE(F494, """"), EQ(G494, """")), 1, 0))"),0.0)</f>
        <v>0</v>
      </c>
      <c r="P494" s="6">
        <f>IFERROR(__xludf.DUMMYFUNCTION("IF(REGEXMATCH(A494, ""^00-""), 0, IF(AND(EQ(F494, """"), NE(G494, """")), 1, 0))"),0.0)</f>
        <v>0</v>
      </c>
      <c r="Q494" s="6">
        <f>IFERROR(__xludf.DUMMYFUNCTION("IF(REGEXMATCH(A494, ""^00-""), 0, IF(AND(NE(F494, """"), NE(G494, """")), 1, 0))"),1.0)</f>
        <v>1</v>
      </c>
      <c r="R494" s="6">
        <f t="shared" si="1"/>
        <v>1</v>
      </c>
    </row>
    <row r="495">
      <c r="A495" s="1" t="s">
        <v>70</v>
      </c>
      <c r="B495" s="1" t="s">
        <v>1472</v>
      </c>
      <c r="C495" s="1">
        <v>2267.0</v>
      </c>
      <c r="D495" s="1">
        <v>66.0</v>
      </c>
      <c r="E495" s="1">
        <v>2333.0</v>
      </c>
      <c r="F495" s="7" t="s">
        <v>1473</v>
      </c>
      <c r="G495" s="7" t="s">
        <v>1474</v>
      </c>
      <c r="H495" s="1" t="s">
        <v>254</v>
      </c>
      <c r="I495" s="1" t="s">
        <v>172</v>
      </c>
      <c r="J495" s="1" t="s">
        <v>575</v>
      </c>
      <c r="K495" s="1" t="s">
        <v>1468</v>
      </c>
      <c r="L495" s="1"/>
      <c r="M495" s="1" t="s">
        <v>254</v>
      </c>
      <c r="N495" s="6">
        <f>IFERROR(__xludf.DUMMYFUNCTION("IF(REGEXMATCH(A495, ""^00-""), 0, IF(AND(EQ(F495, """"), EQ(G495, """")), 1, 0))"),0.0)</f>
        <v>0</v>
      </c>
      <c r="O495" s="6">
        <f>IFERROR(__xludf.DUMMYFUNCTION("IF(REGEXMATCH(A495, ""^00-""), 0, IF(AND(NE(F495, """"), EQ(G495, """")), 1, 0))"),0.0)</f>
        <v>0</v>
      </c>
      <c r="P495" s="6">
        <f>IFERROR(__xludf.DUMMYFUNCTION("IF(REGEXMATCH(A495, ""^00-""), 0, IF(AND(EQ(F495, """"), NE(G495, """")), 1, 0))"),0.0)</f>
        <v>0</v>
      </c>
      <c r="Q495" s="6">
        <f>IFERROR(__xludf.DUMMYFUNCTION("IF(REGEXMATCH(A495, ""^00-""), 0, IF(AND(NE(F495, """"), NE(G495, """")), 1, 0))"),1.0)</f>
        <v>1</v>
      </c>
      <c r="R495" s="6">
        <f t="shared" si="1"/>
        <v>1</v>
      </c>
    </row>
    <row r="496">
      <c r="A496" s="1" t="s">
        <v>70</v>
      </c>
      <c r="B496" s="1" t="s">
        <v>1475</v>
      </c>
      <c r="C496" s="1">
        <v>1079.0</v>
      </c>
      <c r="D496" s="1">
        <v>1254.0</v>
      </c>
      <c r="E496" s="1">
        <v>2333.0</v>
      </c>
      <c r="F496" s="7" t="s">
        <v>1476</v>
      </c>
      <c r="G496" s="7" t="s">
        <v>1477</v>
      </c>
      <c r="H496" s="1" t="s">
        <v>182</v>
      </c>
      <c r="I496" s="1" t="s">
        <v>172</v>
      </c>
      <c r="J496" s="1" t="s">
        <v>575</v>
      </c>
      <c r="K496" s="1" t="s">
        <v>1468</v>
      </c>
      <c r="L496" s="1"/>
      <c r="M496" s="1" t="s">
        <v>257</v>
      </c>
      <c r="N496" s="6">
        <f>IFERROR(__xludf.DUMMYFUNCTION("IF(REGEXMATCH(A496, ""^00-""), 0, IF(AND(EQ(F496, """"), EQ(G496, """")), 1, 0))"),0.0)</f>
        <v>0</v>
      </c>
      <c r="O496" s="6">
        <f>IFERROR(__xludf.DUMMYFUNCTION("IF(REGEXMATCH(A496, ""^00-""), 0, IF(AND(NE(F496, """"), EQ(G496, """")), 1, 0))"),0.0)</f>
        <v>0</v>
      </c>
      <c r="P496" s="6">
        <f>IFERROR(__xludf.DUMMYFUNCTION("IF(REGEXMATCH(A496, ""^00-""), 0, IF(AND(EQ(F496, """"), NE(G496, """")), 1, 0))"),0.0)</f>
        <v>0</v>
      </c>
      <c r="Q496" s="6">
        <f>IFERROR(__xludf.DUMMYFUNCTION("IF(REGEXMATCH(A496, ""^00-""), 0, IF(AND(NE(F496, """"), NE(G496, """")), 1, 0))"),1.0)</f>
        <v>1</v>
      </c>
      <c r="R496" s="6">
        <f t="shared" si="1"/>
        <v>1</v>
      </c>
    </row>
    <row r="497">
      <c r="A497" s="1" t="s">
        <v>70</v>
      </c>
      <c r="B497" s="1" t="s">
        <v>1478</v>
      </c>
      <c r="C497" s="1">
        <v>2156.0</v>
      </c>
      <c r="D497" s="1">
        <v>177.0</v>
      </c>
      <c r="E497" s="1">
        <v>2333.0</v>
      </c>
      <c r="F497" s="7" t="s">
        <v>1479</v>
      </c>
      <c r="G497" s="7" t="s">
        <v>1480</v>
      </c>
      <c r="H497" s="1" t="s">
        <v>182</v>
      </c>
      <c r="I497" s="1" t="s">
        <v>172</v>
      </c>
      <c r="J497" s="1" t="s">
        <v>575</v>
      </c>
      <c r="K497" s="1" t="s">
        <v>1468</v>
      </c>
      <c r="L497" s="1"/>
      <c r="M497" s="1" t="s">
        <v>257</v>
      </c>
      <c r="N497" s="6">
        <f>IFERROR(__xludf.DUMMYFUNCTION("IF(REGEXMATCH(A497, ""^00-""), 0, IF(AND(EQ(F497, """"), EQ(G497, """")), 1, 0))"),0.0)</f>
        <v>0</v>
      </c>
      <c r="O497" s="6">
        <f>IFERROR(__xludf.DUMMYFUNCTION("IF(REGEXMATCH(A497, ""^00-""), 0, IF(AND(NE(F497, """"), EQ(G497, """")), 1, 0))"),0.0)</f>
        <v>0</v>
      </c>
      <c r="P497" s="6">
        <f>IFERROR(__xludf.DUMMYFUNCTION("IF(REGEXMATCH(A497, ""^00-""), 0, IF(AND(EQ(F497, """"), NE(G497, """")), 1, 0))"),0.0)</f>
        <v>0</v>
      </c>
      <c r="Q497" s="6">
        <f>IFERROR(__xludf.DUMMYFUNCTION("IF(REGEXMATCH(A497, ""^00-""), 0, IF(AND(NE(F497, """"), NE(G497, """")), 1, 0))"),1.0)</f>
        <v>1</v>
      </c>
      <c r="R497" s="6">
        <f t="shared" si="1"/>
        <v>1</v>
      </c>
    </row>
    <row r="498">
      <c r="A498" s="1" t="s">
        <v>70</v>
      </c>
      <c r="B498" s="1" t="s">
        <v>1481</v>
      </c>
      <c r="C498" s="1">
        <v>1822.0</v>
      </c>
      <c r="D498" s="1">
        <v>511.0</v>
      </c>
      <c r="E498" s="1">
        <v>2333.0</v>
      </c>
      <c r="F498" s="7"/>
      <c r="G498" s="7" t="s">
        <v>1482</v>
      </c>
      <c r="H498" s="1" t="s">
        <v>190</v>
      </c>
      <c r="I498" s="1" t="s">
        <v>172</v>
      </c>
      <c r="J498" s="1" t="s">
        <v>575</v>
      </c>
      <c r="K498" s="1" t="s">
        <v>1468</v>
      </c>
      <c r="L498" s="1"/>
      <c r="M498" s="1" t="s">
        <v>191</v>
      </c>
      <c r="N498" s="6">
        <f>IFERROR(__xludf.DUMMYFUNCTION("IF(REGEXMATCH(A498, ""^00-""), 0, IF(AND(EQ(F498, """"), EQ(G498, """")), 1, 0))"),0.0)</f>
        <v>0</v>
      </c>
      <c r="O498" s="6">
        <f>IFERROR(__xludf.DUMMYFUNCTION("IF(REGEXMATCH(A498, ""^00-""), 0, IF(AND(NE(F498, """"), EQ(G498, """")), 1, 0))"),0.0)</f>
        <v>0</v>
      </c>
      <c r="P498" s="6">
        <f>IFERROR(__xludf.DUMMYFUNCTION("IF(REGEXMATCH(A498, ""^00-""), 0, IF(AND(EQ(F498, """"), NE(G498, """")), 1, 0))"),1.0)</f>
        <v>1</v>
      </c>
      <c r="Q498" s="6">
        <f>IFERROR(__xludf.DUMMYFUNCTION("IF(REGEXMATCH(A498, ""^00-""), 0, IF(AND(NE(F498, """"), NE(G498, """")), 1, 0))"),0.0)</f>
        <v>0</v>
      </c>
      <c r="R498" s="6">
        <f t="shared" si="1"/>
        <v>1</v>
      </c>
    </row>
    <row r="499">
      <c r="A499" s="1" t="s">
        <v>70</v>
      </c>
      <c r="B499" s="1" t="s">
        <v>1483</v>
      </c>
      <c r="C499" s="1">
        <v>1814.0</v>
      </c>
      <c r="D499" s="1">
        <v>519.0</v>
      </c>
      <c r="E499" s="1">
        <v>2333.0</v>
      </c>
      <c r="F499" s="7"/>
      <c r="G499" s="7" t="s">
        <v>1484</v>
      </c>
      <c r="H499" s="1" t="s">
        <v>190</v>
      </c>
      <c r="I499" s="1" t="s">
        <v>172</v>
      </c>
      <c r="J499" s="1" t="s">
        <v>575</v>
      </c>
      <c r="K499" s="1" t="s">
        <v>1468</v>
      </c>
      <c r="L499" s="1"/>
      <c r="M499" s="1" t="s">
        <v>191</v>
      </c>
      <c r="N499" s="6">
        <f>IFERROR(__xludf.DUMMYFUNCTION("IF(REGEXMATCH(A499, ""^00-""), 0, IF(AND(EQ(F499, """"), EQ(G499, """")), 1, 0))"),0.0)</f>
        <v>0</v>
      </c>
      <c r="O499" s="6">
        <f>IFERROR(__xludf.DUMMYFUNCTION("IF(REGEXMATCH(A499, ""^00-""), 0, IF(AND(NE(F499, """"), EQ(G499, """")), 1, 0))"),0.0)</f>
        <v>0</v>
      </c>
      <c r="P499" s="6">
        <f>IFERROR(__xludf.DUMMYFUNCTION("IF(REGEXMATCH(A499, ""^00-""), 0, IF(AND(EQ(F499, """"), NE(G499, """")), 1, 0))"),1.0)</f>
        <v>1</v>
      </c>
      <c r="Q499" s="6">
        <f>IFERROR(__xludf.DUMMYFUNCTION("IF(REGEXMATCH(A499, ""^00-""), 0, IF(AND(NE(F499, """"), NE(G499, """")), 1, 0))"),0.0)</f>
        <v>0</v>
      </c>
      <c r="R499" s="6">
        <f t="shared" si="1"/>
        <v>1</v>
      </c>
    </row>
    <row r="500">
      <c r="A500" s="1" t="s">
        <v>72</v>
      </c>
      <c r="B500" s="1" t="s">
        <v>1485</v>
      </c>
      <c r="C500" s="1">
        <v>363.0</v>
      </c>
      <c r="D500" s="1">
        <v>1.0</v>
      </c>
      <c r="E500" s="1">
        <v>364.0</v>
      </c>
      <c r="F500" s="7"/>
      <c r="G500" s="7" t="s">
        <v>1486</v>
      </c>
      <c r="H500" s="1" t="s">
        <v>190</v>
      </c>
      <c r="I500" s="1" t="s">
        <v>172</v>
      </c>
      <c r="J500" s="1" t="s">
        <v>575</v>
      </c>
      <c r="K500" s="1" t="s">
        <v>1468</v>
      </c>
      <c r="L500" s="1" t="b">
        <v>1</v>
      </c>
      <c r="M500" s="1" t="s">
        <v>191</v>
      </c>
      <c r="N500" s="6">
        <f>IFERROR(__xludf.DUMMYFUNCTION("IF(REGEXMATCH(A500, ""^00-""), 0, IF(AND(EQ(F500, """"), EQ(G500, """")), 1, 0))"),0.0)</f>
        <v>0</v>
      </c>
      <c r="O500" s="6">
        <f>IFERROR(__xludf.DUMMYFUNCTION("IF(REGEXMATCH(A500, ""^00-""), 0, IF(AND(NE(F500, """"), EQ(G500, """")), 1, 0))"),0.0)</f>
        <v>0</v>
      </c>
      <c r="P500" s="6">
        <f>IFERROR(__xludf.DUMMYFUNCTION("IF(REGEXMATCH(A500, ""^00-""), 0, IF(AND(EQ(F500, """"), NE(G500, """")), 1, 0))"),1.0)</f>
        <v>1</v>
      </c>
      <c r="Q500" s="6">
        <f>IFERROR(__xludf.DUMMYFUNCTION("IF(REGEXMATCH(A500, ""^00-""), 0, IF(AND(NE(F500, """"), NE(G500, """")), 1, 0))"),0.0)</f>
        <v>0</v>
      </c>
      <c r="R500" s="6">
        <f t="shared" si="1"/>
        <v>1</v>
      </c>
    </row>
    <row r="501">
      <c r="A501" s="1" t="s">
        <v>72</v>
      </c>
      <c r="B501" s="1" t="s">
        <v>1487</v>
      </c>
      <c r="C501" s="1">
        <v>313.0</v>
      </c>
      <c r="D501" s="1">
        <v>51.0</v>
      </c>
      <c r="E501" s="1">
        <v>364.0</v>
      </c>
      <c r="F501" s="1"/>
      <c r="G501" s="1" t="s">
        <v>1488</v>
      </c>
      <c r="H501" s="1" t="s">
        <v>250</v>
      </c>
      <c r="I501" s="1" t="s">
        <v>172</v>
      </c>
      <c r="J501" s="1" t="s">
        <v>575</v>
      </c>
      <c r="K501" s="1" t="s">
        <v>1468</v>
      </c>
      <c r="L501" s="1" t="b">
        <v>1</v>
      </c>
      <c r="M501" s="1" t="s">
        <v>250</v>
      </c>
      <c r="N501" s="6">
        <f>IFERROR(__xludf.DUMMYFUNCTION("IF(REGEXMATCH(A501, ""^00-""), 0, IF(AND(EQ(F501, """"), EQ(G501, """")), 1, 0))"),0.0)</f>
        <v>0</v>
      </c>
      <c r="O501" s="6">
        <f>IFERROR(__xludf.DUMMYFUNCTION("IF(REGEXMATCH(A501, ""^00-""), 0, IF(AND(NE(F501, """"), EQ(G501, """")), 1, 0))"),0.0)</f>
        <v>0</v>
      </c>
      <c r="P501" s="6">
        <f>IFERROR(__xludf.DUMMYFUNCTION("IF(REGEXMATCH(A501, ""^00-""), 0, IF(AND(EQ(F501, """"), NE(G501, """")), 1, 0))"),1.0)</f>
        <v>1</v>
      </c>
      <c r="Q501" s="6">
        <f>IFERROR(__xludf.DUMMYFUNCTION("IF(REGEXMATCH(A501, ""^00-""), 0, IF(AND(NE(F501, """"), NE(G501, """")), 1, 0))"),0.0)</f>
        <v>0</v>
      </c>
      <c r="R501" s="6">
        <f t="shared" si="1"/>
        <v>1</v>
      </c>
    </row>
    <row r="502">
      <c r="A502" s="1" t="s">
        <v>72</v>
      </c>
      <c r="B502" s="1" t="s">
        <v>1489</v>
      </c>
      <c r="C502" s="1">
        <v>313.0</v>
      </c>
      <c r="D502" s="1">
        <v>51.0</v>
      </c>
      <c r="E502" s="1">
        <v>364.0</v>
      </c>
      <c r="F502" s="1"/>
      <c r="G502" s="1" t="s">
        <v>1490</v>
      </c>
      <c r="H502" s="1" t="s">
        <v>254</v>
      </c>
      <c r="I502" s="1" t="s">
        <v>172</v>
      </c>
      <c r="J502" s="1" t="s">
        <v>575</v>
      </c>
      <c r="K502" s="1" t="s">
        <v>1468</v>
      </c>
      <c r="L502" s="1" t="b">
        <v>1</v>
      </c>
      <c r="M502" s="1" t="s">
        <v>254</v>
      </c>
      <c r="N502" s="6">
        <f>IFERROR(__xludf.DUMMYFUNCTION("IF(REGEXMATCH(A502, ""^00-""), 0, IF(AND(EQ(F502, """"), EQ(G502, """")), 1, 0))"),0.0)</f>
        <v>0</v>
      </c>
      <c r="O502" s="6">
        <f>IFERROR(__xludf.DUMMYFUNCTION("IF(REGEXMATCH(A502, ""^00-""), 0, IF(AND(NE(F502, """"), EQ(G502, """")), 1, 0))"),0.0)</f>
        <v>0</v>
      </c>
      <c r="P502" s="6">
        <f>IFERROR(__xludf.DUMMYFUNCTION("IF(REGEXMATCH(A502, ""^00-""), 0, IF(AND(EQ(F502, """"), NE(G502, """")), 1, 0))"),1.0)</f>
        <v>1</v>
      </c>
      <c r="Q502" s="6">
        <f>IFERROR(__xludf.DUMMYFUNCTION("IF(REGEXMATCH(A502, ""^00-""), 0, IF(AND(NE(F502, """"), NE(G502, """")), 1, 0))"),0.0)</f>
        <v>0</v>
      </c>
      <c r="R502" s="6">
        <f t="shared" si="1"/>
        <v>1</v>
      </c>
    </row>
    <row r="503">
      <c r="A503" s="1" t="s">
        <v>72</v>
      </c>
      <c r="B503" s="1" t="s">
        <v>1491</v>
      </c>
      <c r="C503" s="1">
        <v>268.0</v>
      </c>
      <c r="D503" s="1">
        <v>96.0</v>
      </c>
      <c r="E503" s="1">
        <v>364.0</v>
      </c>
      <c r="F503" s="1"/>
      <c r="G503" s="1" t="s">
        <v>1492</v>
      </c>
      <c r="H503" s="1" t="s">
        <v>182</v>
      </c>
      <c r="I503" s="1" t="s">
        <v>172</v>
      </c>
      <c r="J503" s="1" t="s">
        <v>575</v>
      </c>
      <c r="K503" s="1" t="s">
        <v>1468</v>
      </c>
      <c r="L503" s="1" t="b">
        <v>1</v>
      </c>
      <c r="M503" s="1" t="s">
        <v>257</v>
      </c>
      <c r="N503" s="6">
        <f>IFERROR(__xludf.DUMMYFUNCTION("IF(REGEXMATCH(A503, ""^00-""), 0, IF(AND(EQ(F503, """"), EQ(G503, """")), 1, 0))"),0.0)</f>
        <v>0</v>
      </c>
      <c r="O503" s="6">
        <f>IFERROR(__xludf.DUMMYFUNCTION("IF(REGEXMATCH(A503, ""^00-""), 0, IF(AND(NE(F503, """"), EQ(G503, """")), 1, 0))"),0.0)</f>
        <v>0</v>
      </c>
      <c r="P503" s="6">
        <f>IFERROR(__xludf.DUMMYFUNCTION("IF(REGEXMATCH(A503, ""^00-""), 0, IF(AND(EQ(F503, """"), NE(G503, """")), 1, 0))"),1.0)</f>
        <v>1</v>
      </c>
      <c r="Q503" s="6">
        <f>IFERROR(__xludf.DUMMYFUNCTION("IF(REGEXMATCH(A503, ""^00-""), 0, IF(AND(NE(F503, """"), NE(G503, """")), 1, 0))"),0.0)</f>
        <v>0</v>
      </c>
      <c r="R503" s="6">
        <f t="shared" si="1"/>
        <v>1</v>
      </c>
    </row>
    <row r="504">
      <c r="A504" s="1" t="s">
        <v>72</v>
      </c>
      <c r="B504" s="1" t="s">
        <v>1493</v>
      </c>
      <c r="C504" s="1">
        <v>50.0</v>
      </c>
      <c r="D504" s="1">
        <v>314.0</v>
      </c>
      <c r="E504" s="1">
        <v>364.0</v>
      </c>
      <c r="F504" s="1"/>
      <c r="G504" s="1" t="s">
        <v>1494</v>
      </c>
      <c r="H504" s="1" t="s">
        <v>171</v>
      </c>
      <c r="I504" s="1" t="s">
        <v>172</v>
      </c>
      <c r="J504" s="1" t="s">
        <v>575</v>
      </c>
      <c r="K504" s="1" t="s">
        <v>1468</v>
      </c>
      <c r="L504" s="1" t="b">
        <v>1</v>
      </c>
      <c r="M504" s="1" t="s">
        <v>171</v>
      </c>
      <c r="N504" s="6">
        <f>IFERROR(__xludf.DUMMYFUNCTION("IF(REGEXMATCH(A504, ""^00-""), 0, IF(AND(EQ(F504, """"), EQ(G504, """")), 1, 0))"),0.0)</f>
        <v>0</v>
      </c>
      <c r="O504" s="6">
        <f>IFERROR(__xludf.DUMMYFUNCTION("IF(REGEXMATCH(A504, ""^00-""), 0, IF(AND(NE(F504, """"), EQ(G504, """")), 1, 0))"),0.0)</f>
        <v>0</v>
      </c>
      <c r="P504" s="6">
        <f>IFERROR(__xludf.DUMMYFUNCTION("IF(REGEXMATCH(A504, ""^00-""), 0, IF(AND(EQ(F504, """"), NE(G504, """")), 1, 0))"),1.0)</f>
        <v>1</v>
      </c>
      <c r="Q504" s="6">
        <f>IFERROR(__xludf.DUMMYFUNCTION("IF(REGEXMATCH(A504, ""^00-""), 0, IF(AND(NE(F504, """"), NE(G504, """")), 1, 0))"),0.0)</f>
        <v>0</v>
      </c>
      <c r="R504" s="6">
        <f t="shared" si="1"/>
        <v>1</v>
      </c>
    </row>
    <row r="505">
      <c r="A505" s="1" t="s">
        <v>72</v>
      </c>
      <c r="B505" s="1" t="s">
        <v>1495</v>
      </c>
      <c r="C505" s="1">
        <v>55.0</v>
      </c>
      <c r="D505" s="1">
        <v>309.0</v>
      </c>
      <c r="E505" s="1">
        <v>364.0</v>
      </c>
      <c r="F505" s="1"/>
      <c r="G505" s="1" t="s">
        <v>1496</v>
      </c>
      <c r="H505" s="1" t="s">
        <v>235</v>
      </c>
      <c r="I505" s="1" t="s">
        <v>172</v>
      </c>
      <c r="J505" s="1" t="s">
        <v>575</v>
      </c>
      <c r="K505" s="1" t="s">
        <v>1468</v>
      </c>
      <c r="L505" s="1" t="b">
        <v>1</v>
      </c>
      <c r="M505" s="1" t="s">
        <v>1495</v>
      </c>
      <c r="N505" s="6">
        <f>IFERROR(__xludf.DUMMYFUNCTION("IF(REGEXMATCH(A505, ""^00-""), 0, IF(AND(EQ(F505, """"), EQ(G505, """")), 1, 0))"),0.0)</f>
        <v>0</v>
      </c>
      <c r="O505" s="6">
        <f>IFERROR(__xludf.DUMMYFUNCTION("IF(REGEXMATCH(A505, ""^00-""), 0, IF(AND(NE(F505, """"), EQ(G505, """")), 1, 0))"),0.0)</f>
        <v>0</v>
      </c>
      <c r="P505" s="6">
        <f>IFERROR(__xludf.DUMMYFUNCTION("IF(REGEXMATCH(A505, ""^00-""), 0, IF(AND(EQ(F505, """"), NE(G505, """")), 1, 0))"),1.0)</f>
        <v>1</v>
      </c>
      <c r="Q505" s="6">
        <f>IFERROR(__xludf.DUMMYFUNCTION("IF(REGEXMATCH(A505, ""^00-""), 0, IF(AND(NE(F505, """"), NE(G505, """")), 1, 0))"),0.0)</f>
        <v>0</v>
      </c>
      <c r="R505" s="6">
        <f t="shared" si="1"/>
        <v>1</v>
      </c>
    </row>
    <row r="506">
      <c r="A506" s="1" t="s">
        <v>72</v>
      </c>
      <c r="B506" s="1" t="s">
        <v>1497</v>
      </c>
      <c r="C506" s="1">
        <v>25.0</v>
      </c>
      <c r="D506" s="1">
        <v>339.0</v>
      </c>
      <c r="E506" s="1">
        <v>364.0</v>
      </c>
      <c r="F506" s="1"/>
      <c r="G506" s="1" t="s">
        <v>1498</v>
      </c>
      <c r="H506" s="1" t="s">
        <v>171</v>
      </c>
      <c r="I506" s="1" t="s">
        <v>172</v>
      </c>
      <c r="J506" s="1" t="s">
        <v>575</v>
      </c>
      <c r="K506" s="1" t="s">
        <v>1468</v>
      </c>
      <c r="L506" s="1" t="b">
        <v>1</v>
      </c>
      <c r="M506" s="1" t="s">
        <v>171</v>
      </c>
      <c r="N506" s="6">
        <f>IFERROR(__xludf.DUMMYFUNCTION("IF(REGEXMATCH(A506, ""^00-""), 0, IF(AND(EQ(F506, """"), EQ(G506, """")), 1, 0))"),0.0)</f>
        <v>0</v>
      </c>
      <c r="O506" s="6">
        <f>IFERROR(__xludf.DUMMYFUNCTION("IF(REGEXMATCH(A506, ""^00-""), 0, IF(AND(NE(F506, """"), EQ(G506, """")), 1, 0))"),0.0)</f>
        <v>0</v>
      </c>
      <c r="P506" s="6">
        <f>IFERROR(__xludf.DUMMYFUNCTION("IF(REGEXMATCH(A506, ""^00-""), 0, IF(AND(EQ(F506, """"), NE(G506, """")), 1, 0))"),1.0)</f>
        <v>1</v>
      </c>
      <c r="Q506" s="6">
        <f>IFERROR(__xludf.DUMMYFUNCTION("IF(REGEXMATCH(A506, ""^00-""), 0, IF(AND(NE(F506, """"), NE(G506, """")), 1, 0))"),0.0)</f>
        <v>0</v>
      </c>
      <c r="R506" s="6">
        <f t="shared" si="1"/>
        <v>1</v>
      </c>
    </row>
    <row r="507">
      <c r="A507" s="1" t="s">
        <v>74</v>
      </c>
      <c r="B507" s="1" t="s">
        <v>1499</v>
      </c>
      <c r="C507" s="1">
        <v>272.0</v>
      </c>
      <c r="D507" s="1">
        <v>92.0</v>
      </c>
      <c r="E507" s="1">
        <v>364.0</v>
      </c>
      <c r="F507" s="1"/>
      <c r="G507" s="1" t="s">
        <v>1500</v>
      </c>
      <c r="H507" s="1" t="s">
        <v>182</v>
      </c>
      <c r="I507" s="1" t="s">
        <v>172</v>
      </c>
      <c r="J507" s="1" t="s">
        <v>953</v>
      </c>
      <c r="K507" s="1" t="s">
        <v>1468</v>
      </c>
      <c r="L507" s="1"/>
      <c r="M507" s="1" t="s">
        <v>257</v>
      </c>
      <c r="N507" s="6">
        <f>IFERROR(__xludf.DUMMYFUNCTION("IF(REGEXMATCH(A507, ""^00-""), 0, IF(AND(EQ(F507, """"), EQ(G507, """")), 1, 0))"),0.0)</f>
        <v>0</v>
      </c>
      <c r="O507" s="6">
        <f>IFERROR(__xludf.DUMMYFUNCTION("IF(REGEXMATCH(A507, ""^00-""), 0, IF(AND(NE(F507, """"), EQ(G507, """")), 1, 0))"),0.0)</f>
        <v>0</v>
      </c>
      <c r="P507" s="6">
        <f>IFERROR(__xludf.DUMMYFUNCTION("IF(REGEXMATCH(A507, ""^00-""), 0, IF(AND(EQ(F507, """"), NE(G507, """")), 1, 0))"),1.0)</f>
        <v>1</v>
      </c>
      <c r="Q507" s="6">
        <f>IFERROR(__xludf.DUMMYFUNCTION("IF(REGEXMATCH(A507, ""^00-""), 0, IF(AND(NE(F507, """"), NE(G507, """")), 1, 0))"),0.0)</f>
        <v>0</v>
      </c>
      <c r="R507" s="6">
        <f t="shared" si="1"/>
        <v>1</v>
      </c>
    </row>
    <row r="508">
      <c r="A508" s="1" t="s">
        <v>74</v>
      </c>
      <c r="B508" s="1" t="s">
        <v>1501</v>
      </c>
      <c r="C508" s="1">
        <v>275.0</v>
      </c>
      <c r="D508" s="1">
        <v>89.0</v>
      </c>
      <c r="E508" s="1">
        <v>364.0</v>
      </c>
      <c r="F508" s="1"/>
      <c r="G508" s="1" t="s">
        <v>1502</v>
      </c>
      <c r="H508" s="1" t="s">
        <v>250</v>
      </c>
      <c r="I508" s="1" t="s">
        <v>172</v>
      </c>
      <c r="J508" s="1" t="s">
        <v>953</v>
      </c>
      <c r="K508" s="1" t="s">
        <v>1468</v>
      </c>
      <c r="L508" s="1"/>
      <c r="M508" s="1" t="s">
        <v>250</v>
      </c>
      <c r="N508" s="6">
        <f>IFERROR(__xludf.DUMMYFUNCTION("IF(REGEXMATCH(A508, ""^00-""), 0, IF(AND(EQ(F508, """"), EQ(G508, """")), 1, 0))"),0.0)</f>
        <v>0</v>
      </c>
      <c r="O508" s="6">
        <f>IFERROR(__xludf.DUMMYFUNCTION("IF(REGEXMATCH(A508, ""^00-""), 0, IF(AND(NE(F508, """"), EQ(G508, """")), 1, 0))"),0.0)</f>
        <v>0</v>
      </c>
      <c r="P508" s="6">
        <f>IFERROR(__xludf.DUMMYFUNCTION("IF(REGEXMATCH(A508, ""^00-""), 0, IF(AND(EQ(F508, """"), NE(G508, """")), 1, 0))"),1.0)</f>
        <v>1</v>
      </c>
      <c r="Q508" s="6">
        <f>IFERROR(__xludf.DUMMYFUNCTION("IF(REGEXMATCH(A508, ""^00-""), 0, IF(AND(NE(F508, """"), NE(G508, """")), 1, 0))"),0.0)</f>
        <v>0</v>
      </c>
      <c r="R508" s="6">
        <f t="shared" si="1"/>
        <v>1</v>
      </c>
    </row>
    <row r="509">
      <c r="A509" s="1" t="s">
        <v>74</v>
      </c>
      <c r="B509" s="1" t="s">
        <v>1503</v>
      </c>
      <c r="C509" s="1">
        <v>278.0</v>
      </c>
      <c r="D509" s="1">
        <v>86.0</v>
      </c>
      <c r="E509" s="1">
        <v>364.0</v>
      </c>
      <c r="F509" s="1"/>
      <c r="G509" s="1" t="s">
        <v>1504</v>
      </c>
      <c r="H509" s="1" t="s">
        <v>182</v>
      </c>
      <c r="I509" s="1" t="s">
        <v>172</v>
      </c>
      <c r="J509" s="1" t="s">
        <v>953</v>
      </c>
      <c r="K509" s="1" t="s">
        <v>1468</v>
      </c>
      <c r="L509" s="1"/>
      <c r="M509" s="1" t="s">
        <v>257</v>
      </c>
      <c r="N509" s="6">
        <f>IFERROR(__xludf.DUMMYFUNCTION("IF(REGEXMATCH(A509, ""^00-""), 0, IF(AND(EQ(F509, """"), EQ(G509, """")), 1, 0))"),0.0)</f>
        <v>0</v>
      </c>
      <c r="O509" s="6">
        <f>IFERROR(__xludf.DUMMYFUNCTION("IF(REGEXMATCH(A509, ""^00-""), 0, IF(AND(NE(F509, """"), EQ(G509, """")), 1, 0))"),0.0)</f>
        <v>0</v>
      </c>
      <c r="P509" s="6">
        <f>IFERROR(__xludf.DUMMYFUNCTION("IF(REGEXMATCH(A509, ""^00-""), 0, IF(AND(EQ(F509, """"), NE(G509, """")), 1, 0))"),1.0)</f>
        <v>1</v>
      </c>
      <c r="Q509" s="6">
        <f>IFERROR(__xludf.DUMMYFUNCTION("IF(REGEXMATCH(A509, ""^00-""), 0, IF(AND(NE(F509, """"), NE(G509, """")), 1, 0))"),0.0)</f>
        <v>0</v>
      </c>
      <c r="R509" s="6">
        <f t="shared" si="1"/>
        <v>1</v>
      </c>
    </row>
    <row r="510">
      <c r="A510" s="1" t="s">
        <v>74</v>
      </c>
      <c r="B510" s="1" t="s">
        <v>1505</v>
      </c>
      <c r="C510" s="1">
        <v>281.0</v>
      </c>
      <c r="D510" s="1">
        <v>83.0</v>
      </c>
      <c r="E510" s="1">
        <v>364.0</v>
      </c>
      <c r="F510" s="1"/>
      <c r="G510" s="1" t="s">
        <v>1506</v>
      </c>
      <c r="H510" s="1" t="s">
        <v>250</v>
      </c>
      <c r="I510" s="1" t="s">
        <v>172</v>
      </c>
      <c r="J510" s="1" t="s">
        <v>953</v>
      </c>
      <c r="K510" s="1" t="s">
        <v>1468</v>
      </c>
      <c r="L510" s="1"/>
      <c r="M510" s="1" t="s">
        <v>250</v>
      </c>
      <c r="N510" s="6">
        <f>IFERROR(__xludf.DUMMYFUNCTION("IF(REGEXMATCH(A510, ""^00-""), 0, IF(AND(EQ(F510, """"), EQ(G510, """")), 1, 0))"),0.0)</f>
        <v>0</v>
      </c>
      <c r="O510" s="6">
        <f>IFERROR(__xludf.DUMMYFUNCTION("IF(REGEXMATCH(A510, ""^00-""), 0, IF(AND(NE(F510, """"), EQ(G510, """")), 1, 0))"),0.0)</f>
        <v>0</v>
      </c>
      <c r="P510" s="6">
        <f>IFERROR(__xludf.DUMMYFUNCTION("IF(REGEXMATCH(A510, ""^00-""), 0, IF(AND(EQ(F510, """"), NE(G510, """")), 1, 0))"),1.0)</f>
        <v>1</v>
      </c>
      <c r="Q510" s="6">
        <f>IFERROR(__xludf.DUMMYFUNCTION("IF(REGEXMATCH(A510, ""^00-""), 0, IF(AND(NE(F510, """"), NE(G510, """")), 1, 0))"),0.0)</f>
        <v>0</v>
      </c>
      <c r="R510" s="6">
        <f t="shared" si="1"/>
        <v>1</v>
      </c>
    </row>
    <row r="511">
      <c r="A511" s="1" t="s">
        <v>74</v>
      </c>
      <c r="B511" s="1" t="s">
        <v>1507</v>
      </c>
      <c r="C511" s="1">
        <v>281.0</v>
      </c>
      <c r="D511" s="1">
        <v>83.0</v>
      </c>
      <c r="E511" s="1">
        <v>364.0</v>
      </c>
      <c r="F511" s="1"/>
      <c r="G511" s="1" t="s">
        <v>1508</v>
      </c>
      <c r="H511" s="1" t="s">
        <v>182</v>
      </c>
      <c r="I511" s="1" t="s">
        <v>172</v>
      </c>
      <c r="J511" s="1" t="s">
        <v>953</v>
      </c>
      <c r="K511" s="1" t="s">
        <v>1468</v>
      </c>
      <c r="L511" s="1"/>
      <c r="M511" s="1" t="s">
        <v>257</v>
      </c>
      <c r="N511" s="6">
        <f>IFERROR(__xludf.DUMMYFUNCTION("IF(REGEXMATCH(A511, ""^00-""), 0, IF(AND(EQ(F511, """"), EQ(G511, """")), 1, 0))"),0.0)</f>
        <v>0</v>
      </c>
      <c r="O511" s="6">
        <f>IFERROR(__xludf.DUMMYFUNCTION("IF(REGEXMATCH(A511, ""^00-""), 0, IF(AND(NE(F511, """"), EQ(G511, """")), 1, 0))"),0.0)</f>
        <v>0</v>
      </c>
      <c r="P511" s="6">
        <f>IFERROR(__xludf.DUMMYFUNCTION("IF(REGEXMATCH(A511, ""^00-""), 0, IF(AND(EQ(F511, """"), NE(G511, """")), 1, 0))"),1.0)</f>
        <v>1</v>
      </c>
      <c r="Q511" s="6">
        <f>IFERROR(__xludf.DUMMYFUNCTION("IF(REGEXMATCH(A511, ""^00-""), 0, IF(AND(NE(F511, """"), NE(G511, """")), 1, 0))"),0.0)</f>
        <v>0</v>
      </c>
      <c r="R511" s="6">
        <f t="shared" si="1"/>
        <v>1</v>
      </c>
    </row>
    <row r="512">
      <c r="A512" s="1" t="s">
        <v>74</v>
      </c>
      <c r="B512" s="1" t="s">
        <v>1509</v>
      </c>
      <c r="C512" s="1">
        <v>283.0</v>
      </c>
      <c r="D512" s="1">
        <v>81.0</v>
      </c>
      <c r="E512" s="1">
        <v>364.0</v>
      </c>
      <c r="F512" s="1"/>
      <c r="G512" s="1" t="s">
        <v>1510</v>
      </c>
      <c r="H512" s="1" t="s">
        <v>250</v>
      </c>
      <c r="I512" s="1" t="s">
        <v>172</v>
      </c>
      <c r="J512" s="1" t="s">
        <v>953</v>
      </c>
      <c r="K512" s="1" t="s">
        <v>1468</v>
      </c>
      <c r="L512" s="1"/>
      <c r="M512" s="1" t="s">
        <v>250</v>
      </c>
      <c r="N512" s="6">
        <f>IFERROR(__xludf.DUMMYFUNCTION("IF(REGEXMATCH(A512, ""^00-""), 0, IF(AND(EQ(F512, """"), EQ(G512, """")), 1, 0))"),0.0)</f>
        <v>0</v>
      </c>
      <c r="O512" s="6">
        <f>IFERROR(__xludf.DUMMYFUNCTION("IF(REGEXMATCH(A512, ""^00-""), 0, IF(AND(NE(F512, """"), EQ(G512, """")), 1, 0))"),0.0)</f>
        <v>0</v>
      </c>
      <c r="P512" s="6">
        <f>IFERROR(__xludf.DUMMYFUNCTION("IF(REGEXMATCH(A512, ""^00-""), 0, IF(AND(EQ(F512, """"), NE(G512, """")), 1, 0))"),1.0)</f>
        <v>1</v>
      </c>
      <c r="Q512" s="6">
        <f>IFERROR(__xludf.DUMMYFUNCTION("IF(REGEXMATCH(A512, ""^00-""), 0, IF(AND(NE(F512, """"), NE(G512, """")), 1, 0))"),0.0)</f>
        <v>0</v>
      </c>
      <c r="R512" s="6">
        <f t="shared" si="1"/>
        <v>1</v>
      </c>
    </row>
    <row r="513">
      <c r="A513" s="1" t="s">
        <v>76</v>
      </c>
      <c r="B513" s="1" t="s">
        <v>1511</v>
      </c>
      <c r="C513" s="1">
        <v>527.0</v>
      </c>
      <c r="D513" s="1">
        <v>2.0</v>
      </c>
      <c r="E513" s="1">
        <v>529.0</v>
      </c>
      <c r="F513" s="1" t="s">
        <v>700</v>
      </c>
      <c r="G513" s="1" t="s">
        <v>701</v>
      </c>
      <c r="H513" s="1" t="s">
        <v>190</v>
      </c>
      <c r="I513" s="1" t="s">
        <v>172</v>
      </c>
      <c r="J513" s="1" t="s">
        <v>702</v>
      </c>
      <c r="K513" s="1" t="s">
        <v>1468</v>
      </c>
      <c r="L513" s="1"/>
      <c r="M513" s="1" t="s">
        <v>191</v>
      </c>
      <c r="N513" s="6">
        <f>IFERROR(__xludf.DUMMYFUNCTION("IF(REGEXMATCH(A513, ""^00-""), 0, IF(AND(EQ(F513, """"), EQ(G513, """")), 1, 0))"),0.0)</f>
        <v>0</v>
      </c>
      <c r="O513" s="6">
        <f>IFERROR(__xludf.DUMMYFUNCTION("IF(REGEXMATCH(A513, ""^00-""), 0, IF(AND(NE(F513, """"), EQ(G513, """")), 1, 0))"),0.0)</f>
        <v>0</v>
      </c>
      <c r="P513" s="6">
        <f>IFERROR(__xludf.DUMMYFUNCTION("IF(REGEXMATCH(A513, ""^00-""), 0, IF(AND(EQ(F513, """"), NE(G513, """")), 1, 0))"),0.0)</f>
        <v>0</v>
      </c>
      <c r="Q513" s="6">
        <f>IFERROR(__xludf.DUMMYFUNCTION("IF(REGEXMATCH(A513, ""^00-""), 0, IF(AND(NE(F513, """"), NE(G513, """")), 1, 0))"),1.0)</f>
        <v>1</v>
      </c>
      <c r="R513" s="6">
        <f t="shared" si="1"/>
        <v>1</v>
      </c>
    </row>
    <row r="514">
      <c r="A514" s="1" t="s">
        <v>76</v>
      </c>
      <c r="B514" s="1" t="s">
        <v>1512</v>
      </c>
      <c r="C514" s="1">
        <v>162.0</v>
      </c>
      <c r="D514" s="1">
        <v>367.0</v>
      </c>
      <c r="E514" s="1">
        <v>529.0</v>
      </c>
      <c r="F514" s="1" t="s">
        <v>704</v>
      </c>
      <c r="G514" s="1" t="s">
        <v>705</v>
      </c>
      <c r="H514" s="1" t="s">
        <v>250</v>
      </c>
      <c r="I514" s="1" t="s">
        <v>172</v>
      </c>
      <c r="J514" s="1" t="s">
        <v>702</v>
      </c>
      <c r="K514" s="1" t="s">
        <v>1468</v>
      </c>
      <c r="L514" s="1"/>
      <c r="M514" s="1" t="s">
        <v>250</v>
      </c>
      <c r="N514" s="6">
        <f>IFERROR(__xludf.DUMMYFUNCTION("IF(REGEXMATCH(A514, ""^00-""), 0, IF(AND(EQ(F514, """"), EQ(G514, """")), 1, 0))"),0.0)</f>
        <v>0</v>
      </c>
      <c r="O514" s="6">
        <f>IFERROR(__xludf.DUMMYFUNCTION("IF(REGEXMATCH(A514, ""^00-""), 0, IF(AND(NE(F514, """"), EQ(G514, """")), 1, 0))"),0.0)</f>
        <v>0</v>
      </c>
      <c r="P514" s="6">
        <f>IFERROR(__xludf.DUMMYFUNCTION("IF(REGEXMATCH(A514, ""^00-""), 0, IF(AND(EQ(F514, """"), NE(G514, """")), 1, 0))"),0.0)</f>
        <v>0</v>
      </c>
      <c r="Q514" s="6">
        <f>IFERROR(__xludf.DUMMYFUNCTION("IF(REGEXMATCH(A514, ""^00-""), 0, IF(AND(NE(F514, """"), NE(G514, """")), 1, 0))"),1.0)</f>
        <v>1</v>
      </c>
      <c r="R514" s="6">
        <f t="shared" si="1"/>
        <v>1</v>
      </c>
    </row>
    <row r="515">
      <c r="A515" s="1" t="s">
        <v>76</v>
      </c>
      <c r="B515" s="1" t="s">
        <v>1513</v>
      </c>
      <c r="C515" s="1">
        <v>160.0</v>
      </c>
      <c r="D515" s="1">
        <v>369.0</v>
      </c>
      <c r="E515" s="1">
        <v>529.0</v>
      </c>
      <c r="F515" s="1" t="s">
        <v>707</v>
      </c>
      <c r="G515" s="1" t="s">
        <v>708</v>
      </c>
      <c r="H515" s="1" t="s">
        <v>254</v>
      </c>
      <c r="I515" s="1" t="s">
        <v>172</v>
      </c>
      <c r="J515" s="1" t="s">
        <v>702</v>
      </c>
      <c r="K515" s="1" t="s">
        <v>1468</v>
      </c>
      <c r="L515" s="1"/>
      <c r="M515" s="1" t="s">
        <v>254</v>
      </c>
      <c r="N515" s="6">
        <f>IFERROR(__xludf.DUMMYFUNCTION("IF(REGEXMATCH(A515, ""^00-""), 0, IF(AND(EQ(F515, """"), EQ(G515, """")), 1, 0))"),0.0)</f>
        <v>0</v>
      </c>
      <c r="O515" s="6">
        <f>IFERROR(__xludf.DUMMYFUNCTION("IF(REGEXMATCH(A515, ""^00-""), 0, IF(AND(NE(F515, """"), EQ(G515, """")), 1, 0))"),0.0)</f>
        <v>0</v>
      </c>
      <c r="P515" s="6">
        <f>IFERROR(__xludf.DUMMYFUNCTION("IF(REGEXMATCH(A515, ""^00-""), 0, IF(AND(EQ(F515, """"), NE(G515, """")), 1, 0))"),0.0)</f>
        <v>0</v>
      </c>
      <c r="Q515" s="6">
        <f>IFERROR(__xludf.DUMMYFUNCTION("IF(REGEXMATCH(A515, ""^00-""), 0, IF(AND(NE(F515, """"), NE(G515, """")), 1, 0))"),1.0)</f>
        <v>1</v>
      </c>
      <c r="R515" s="6">
        <f t="shared" si="1"/>
        <v>1</v>
      </c>
    </row>
    <row r="516">
      <c r="A516" s="1" t="s">
        <v>76</v>
      </c>
      <c r="B516" s="1" t="s">
        <v>1514</v>
      </c>
      <c r="C516" s="1">
        <v>161.0</v>
      </c>
      <c r="D516" s="1">
        <v>368.0</v>
      </c>
      <c r="E516" s="1">
        <v>529.0</v>
      </c>
      <c r="F516" s="1" t="s">
        <v>710</v>
      </c>
      <c r="G516" s="1" t="s">
        <v>711</v>
      </c>
      <c r="H516" s="1" t="s">
        <v>235</v>
      </c>
      <c r="I516" s="1" t="s">
        <v>172</v>
      </c>
      <c r="J516" s="1" t="s">
        <v>702</v>
      </c>
      <c r="K516" s="1" t="s">
        <v>1468</v>
      </c>
      <c r="L516" s="1"/>
      <c r="M516" s="1" t="s">
        <v>712</v>
      </c>
      <c r="N516" s="6">
        <f>IFERROR(__xludf.DUMMYFUNCTION("IF(REGEXMATCH(A516, ""^00-""), 0, IF(AND(EQ(F516, """"), EQ(G516, """")), 1, 0))"),0.0)</f>
        <v>0</v>
      </c>
      <c r="O516" s="6">
        <f>IFERROR(__xludf.DUMMYFUNCTION("IF(REGEXMATCH(A516, ""^00-""), 0, IF(AND(NE(F516, """"), EQ(G516, """")), 1, 0))"),0.0)</f>
        <v>0</v>
      </c>
      <c r="P516" s="6">
        <f>IFERROR(__xludf.DUMMYFUNCTION("IF(REGEXMATCH(A516, ""^00-""), 0, IF(AND(EQ(F516, """"), NE(G516, """")), 1, 0))"),0.0)</f>
        <v>0</v>
      </c>
      <c r="Q516" s="6">
        <f>IFERROR(__xludf.DUMMYFUNCTION("IF(REGEXMATCH(A516, ""^00-""), 0, IF(AND(NE(F516, """"), NE(G516, """")), 1, 0))"),1.0)</f>
        <v>1</v>
      </c>
      <c r="R516" s="6">
        <f t="shared" si="1"/>
        <v>1</v>
      </c>
    </row>
    <row r="517">
      <c r="A517" s="1" t="s">
        <v>76</v>
      </c>
      <c r="B517" s="1" t="s">
        <v>1515</v>
      </c>
      <c r="C517" s="1">
        <v>15.0</v>
      </c>
      <c r="D517" s="1">
        <v>514.0</v>
      </c>
      <c r="E517" s="1">
        <v>529.0</v>
      </c>
      <c r="F517" s="1" t="s">
        <v>714</v>
      </c>
      <c r="G517" s="1" t="s">
        <v>715</v>
      </c>
      <c r="H517" s="1" t="s">
        <v>171</v>
      </c>
      <c r="I517" s="1" t="s">
        <v>172</v>
      </c>
      <c r="J517" s="1" t="s">
        <v>702</v>
      </c>
      <c r="K517" s="1" t="s">
        <v>1468</v>
      </c>
      <c r="L517" s="1"/>
      <c r="M517" s="1" t="s">
        <v>171</v>
      </c>
      <c r="N517" s="6">
        <f>IFERROR(__xludf.DUMMYFUNCTION("IF(REGEXMATCH(A517, ""^00-""), 0, IF(AND(EQ(F517, """"), EQ(G517, """")), 1, 0))"),0.0)</f>
        <v>0</v>
      </c>
      <c r="O517" s="6">
        <f>IFERROR(__xludf.DUMMYFUNCTION("IF(REGEXMATCH(A517, ""^00-""), 0, IF(AND(NE(F517, """"), EQ(G517, """")), 1, 0))"),0.0)</f>
        <v>0</v>
      </c>
      <c r="P517" s="6">
        <f>IFERROR(__xludf.DUMMYFUNCTION("IF(REGEXMATCH(A517, ""^00-""), 0, IF(AND(EQ(F517, """"), NE(G517, """")), 1, 0))"),0.0)</f>
        <v>0</v>
      </c>
      <c r="Q517" s="6">
        <f>IFERROR(__xludf.DUMMYFUNCTION("IF(REGEXMATCH(A517, ""^00-""), 0, IF(AND(NE(F517, """"), NE(G517, """")), 1, 0))"),1.0)</f>
        <v>1</v>
      </c>
      <c r="R517" s="6">
        <f t="shared" si="1"/>
        <v>1</v>
      </c>
    </row>
    <row r="518">
      <c r="A518" s="1" t="s">
        <v>76</v>
      </c>
      <c r="B518" s="1" t="s">
        <v>1516</v>
      </c>
      <c r="C518" s="1">
        <v>528.0</v>
      </c>
      <c r="D518" s="1">
        <v>1.0</v>
      </c>
      <c r="E518" s="1">
        <v>529.0</v>
      </c>
      <c r="F518" s="1" t="s">
        <v>717</v>
      </c>
      <c r="G518" s="1" t="s">
        <v>718</v>
      </c>
      <c r="H518" s="1" t="s">
        <v>190</v>
      </c>
      <c r="I518" s="1" t="s">
        <v>172</v>
      </c>
      <c r="J518" s="1" t="s">
        <v>702</v>
      </c>
      <c r="K518" s="1" t="s">
        <v>1468</v>
      </c>
      <c r="L518" s="1"/>
      <c r="M518" s="1" t="s">
        <v>191</v>
      </c>
      <c r="N518" s="6">
        <f>IFERROR(__xludf.DUMMYFUNCTION("IF(REGEXMATCH(A518, ""^00-""), 0, IF(AND(EQ(F518, """"), EQ(G518, """")), 1, 0))"),0.0)</f>
        <v>0</v>
      </c>
      <c r="O518" s="6">
        <f>IFERROR(__xludf.DUMMYFUNCTION("IF(REGEXMATCH(A518, ""^00-""), 0, IF(AND(NE(F518, """"), EQ(G518, """")), 1, 0))"),0.0)</f>
        <v>0</v>
      </c>
      <c r="P518" s="6">
        <f>IFERROR(__xludf.DUMMYFUNCTION("IF(REGEXMATCH(A518, ""^00-""), 0, IF(AND(EQ(F518, """"), NE(G518, """")), 1, 0))"),0.0)</f>
        <v>0</v>
      </c>
      <c r="Q518" s="6">
        <f>IFERROR(__xludf.DUMMYFUNCTION("IF(REGEXMATCH(A518, ""^00-""), 0, IF(AND(NE(F518, """"), NE(G518, """")), 1, 0))"),1.0)</f>
        <v>1</v>
      </c>
      <c r="R518" s="6">
        <f t="shared" si="1"/>
        <v>1</v>
      </c>
    </row>
    <row r="519">
      <c r="A519" s="1" t="s">
        <v>76</v>
      </c>
      <c r="B519" s="1" t="s">
        <v>1517</v>
      </c>
      <c r="C519" s="1">
        <v>4.0</v>
      </c>
      <c r="D519" s="1">
        <v>525.0</v>
      </c>
      <c r="E519" s="1">
        <v>529.0</v>
      </c>
      <c r="F519" s="1" t="s">
        <v>720</v>
      </c>
      <c r="G519" s="1" t="s">
        <v>721</v>
      </c>
      <c r="H519" s="1" t="s">
        <v>250</v>
      </c>
      <c r="I519" s="1" t="s">
        <v>172</v>
      </c>
      <c r="J519" s="1" t="s">
        <v>702</v>
      </c>
      <c r="K519" s="1" t="s">
        <v>1468</v>
      </c>
      <c r="L519" s="1"/>
      <c r="M519" s="1" t="s">
        <v>250</v>
      </c>
      <c r="N519" s="6">
        <f>IFERROR(__xludf.DUMMYFUNCTION("IF(REGEXMATCH(A519, ""^00-""), 0, IF(AND(EQ(F519, """"), EQ(G519, """")), 1, 0))"),0.0)</f>
        <v>0</v>
      </c>
      <c r="O519" s="6">
        <f>IFERROR(__xludf.DUMMYFUNCTION("IF(REGEXMATCH(A519, ""^00-""), 0, IF(AND(NE(F519, """"), EQ(G519, """")), 1, 0))"),0.0)</f>
        <v>0</v>
      </c>
      <c r="P519" s="6">
        <f>IFERROR(__xludf.DUMMYFUNCTION("IF(REGEXMATCH(A519, ""^00-""), 0, IF(AND(EQ(F519, """"), NE(G519, """")), 1, 0))"),0.0)</f>
        <v>0</v>
      </c>
      <c r="Q519" s="6">
        <f>IFERROR(__xludf.DUMMYFUNCTION("IF(REGEXMATCH(A519, ""^00-""), 0, IF(AND(NE(F519, """"), NE(G519, """")), 1, 0))"),1.0)</f>
        <v>1</v>
      </c>
      <c r="R519" s="6">
        <f t="shared" si="1"/>
        <v>1</v>
      </c>
    </row>
    <row r="520">
      <c r="A520" s="1" t="s">
        <v>76</v>
      </c>
      <c r="B520" s="1" t="s">
        <v>1518</v>
      </c>
      <c r="C520" s="1">
        <v>4.0</v>
      </c>
      <c r="D520" s="1">
        <v>525.0</v>
      </c>
      <c r="E520" s="1">
        <v>529.0</v>
      </c>
      <c r="F520" s="1" t="s">
        <v>723</v>
      </c>
      <c r="G520" s="1" t="s">
        <v>724</v>
      </c>
      <c r="H520" s="1" t="s">
        <v>254</v>
      </c>
      <c r="I520" s="1" t="s">
        <v>172</v>
      </c>
      <c r="J520" s="1" t="s">
        <v>702</v>
      </c>
      <c r="K520" s="1" t="s">
        <v>1468</v>
      </c>
      <c r="L520" s="1"/>
      <c r="M520" s="1" t="s">
        <v>254</v>
      </c>
      <c r="N520" s="6">
        <f>IFERROR(__xludf.DUMMYFUNCTION("IF(REGEXMATCH(A520, ""^00-""), 0, IF(AND(EQ(F520, """"), EQ(G520, """")), 1, 0))"),0.0)</f>
        <v>0</v>
      </c>
      <c r="O520" s="6">
        <f>IFERROR(__xludf.DUMMYFUNCTION("IF(REGEXMATCH(A520, ""^00-""), 0, IF(AND(NE(F520, """"), EQ(G520, """")), 1, 0))"),0.0)</f>
        <v>0</v>
      </c>
      <c r="P520" s="6">
        <f>IFERROR(__xludf.DUMMYFUNCTION("IF(REGEXMATCH(A520, ""^00-""), 0, IF(AND(EQ(F520, """"), NE(G520, """")), 1, 0))"),0.0)</f>
        <v>0</v>
      </c>
      <c r="Q520" s="6">
        <f>IFERROR(__xludf.DUMMYFUNCTION("IF(REGEXMATCH(A520, ""^00-""), 0, IF(AND(NE(F520, """"), NE(G520, """")), 1, 0))"),1.0)</f>
        <v>1</v>
      </c>
      <c r="R520" s="6">
        <f t="shared" si="1"/>
        <v>1</v>
      </c>
    </row>
    <row r="521">
      <c r="A521" s="1" t="s">
        <v>76</v>
      </c>
      <c r="B521" s="1" t="s">
        <v>1519</v>
      </c>
      <c r="C521" s="1">
        <v>4.0</v>
      </c>
      <c r="D521" s="1">
        <v>525.0</v>
      </c>
      <c r="E521" s="1">
        <v>529.0</v>
      </c>
      <c r="F521" s="1" t="s">
        <v>726</v>
      </c>
      <c r="G521" s="1" t="s">
        <v>727</v>
      </c>
      <c r="H521" s="1" t="s">
        <v>235</v>
      </c>
      <c r="I521" s="1" t="s">
        <v>172</v>
      </c>
      <c r="J521" s="1" t="s">
        <v>702</v>
      </c>
      <c r="K521" s="1" t="s">
        <v>1468</v>
      </c>
      <c r="L521" s="1"/>
      <c r="M521" s="1" t="s">
        <v>712</v>
      </c>
      <c r="N521" s="6">
        <f>IFERROR(__xludf.DUMMYFUNCTION("IF(REGEXMATCH(A521, ""^00-""), 0, IF(AND(EQ(F521, """"), EQ(G521, """")), 1, 0))"),0.0)</f>
        <v>0</v>
      </c>
      <c r="O521" s="6">
        <f>IFERROR(__xludf.DUMMYFUNCTION("IF(REGEXMATCH(A521, ""^00-""), 0, IF(AND(NE(F521, """"), EQ(G521, """")), 1, 0))"),0.0)</f>
        <v>0</v>
      </c>
      <c r="P521" s="6">
        <f>IFERROR(__xludf.DUMMYFUNCTION("IF(REGEXMATCH(A521, ""^00-""), 0, IF(AND(EQ(F521, """"), NE(G521, """")), 1, 0))"),0.0)</f>
        <v>0</v>
      </c>
      <c r="Q521" s="6">
        <f>IFERROR(__xludf.DUMMYFUNCTION("IF(REGEXMATCH(A521, ""^00-""), 0, IF(AND(NE(F521, """"), NE(G521, """")), 1, 0))"),1.0)</f>
        <v>1</v>
      </c>
      <c r="R521" s="6">
        <f t="shared" si="1"/>
        <v>1</v>
      </c>
    </row>
    <row r="522">
      <c r="A522" s="1" t="s">
        <v>76</v>
      </c>
      <c r="B522" s="1" t="s">
        <v>1520</v>
      </c>
      <c r="C522" s="1">
        <v>1.0</v>
      </c>
      <c r="D522" s="1">
        <v>528.0</v>
      </c>
      <c r="E522" s="1">
        <v>529.0</v>
      </c>
      <c r="F522" s="1" t="s">
        <v>729</v>
      </c>
      <c r="G522" s="1" t="s">
        <v>730</v>
      </c>
      <c r="H522" s="1" t="s">
        <v>171</v>
      </c>
      <c r="I522" s="1" t="s">
        <v>172</v>
      </c>
      <c r="J522" s="1" t="s">
        <v>702</v>
      </c>
      <c r="K522" s="1" t="s">
        <v>1468</v>
      </c>
      <c r="L522" s="1"/>
      <c r="M522" s="1" t="s">
        <v>171</v>
      </c>
      <c r="N522" s="6">
        <f>IFERROR(__xludf.DUMMYFUNCTION("IF(REGEXMATCH(A522, ""^00-""), 0, IF(AND(EQ(F522, """"), EQ(G522, """")), 1, 0))"),0.0)</f>
        <v>0</v>
      </c>
      <c r="O522" s="6">
        <f>IFERROR(__xludf.DUMMYFUNCTION("IF(REGEXMATCH(A522, ""^00-""), 0, IF(AND(NE(F522, """"), EQ(G522, """")), 1, 0))"),0.0)</f>
        <v>0</v>
      </c>
      <c r="P522" s="6">
        <f>IFERROR(__xludf.DUMMYFUNCTION("IF(REGEXMATCH(A522, ""^00-""), 0, IF(AND(EQ(F522, """"), NE(G522, """")), 1, 0))"),0.0)</f>
        <v>0</v>
      </c>
      <c r="Q522" s="6">
        <f>IFERROR(__xludf.DUMMYFUNCTION("IF(REGEXMATCH(A522, ""^00-""), 0, IF(AND(NE(F522, """"), NE(G522, """")), 1, 0))"),1.0)</f>
        <v>1</v>
      </c>
      <c r="R522" s="6">
        <f t="shared" si="1"/>
        <v>1</v>
      </c>
    </row>
    <row r="523">
      <c r="A523" s="1" t="s">
        <v>76</v>
      </c>
      <c r="B523" s="1" t="s">
        <v>1521</v>
      </c>
      <c r="C523" s="1">
        <v>529.0</v>
      </c>
      <c r="D523" s="1">
        <v>0.0</v>
      </c>
      <c r="E523" s="1">
        <v>529.0</v>
      </c>
      <c r="F523" s="1" t="s">
        <v>732</v>
      </c>
      <c r="G523" s="1" t="s">
        <v>733</v>
      </c>
      <c r="H523" s="1" t="s">
        <v>190</v>
      </c>
      <c r="I523" s="1" t="s">
        <v>172</v>
      </c>
      <c r="J523" s="1" t="s">
        <v>702</v>
      </c>
      <c r="K523" s="1" t="s">
        <v>1468</v>
      </c>
      <c r="L523" s="1"/>
      <c r="M523" s="1" t="s">
        <v>191</v>
      </c>
      <c r="N523" s="6">
        <f>IFERROR(__xludf.DUMMYFUNCTION("IF(REGEXMATCH(A523, ""^00-""), 0, IF(AND(EQ(F523, """"), EQ(G523, """")), 1, 0))"),0.0)</f>
        <v>0</v>
      </c>
      <c r="O523" s="6">
        <f>IFERROR(__xludf.DUMMYFUNCTION("IF(REGEXMATCH(A523, ""^00-""), 0, IF(AND(NE(F523, """"), EQ(G523, """")), 1, 0))"),0.0)</f>
        <v>0</v>
      </c>
      <c r="P523" s="6">
        <f>IFERROR(__xludf.DUMMYFUNCTION("IF(REGEXMATCH(A523, ""^00-""), 0, IF(AND(EQ(F523, """"), NE(G523, """")), 1, 0))"),0.0)</f>
        <v>0</v>
      </c>
      <c r="Q523" s="6">
        <f>IFERROR(__xludf.DUMMYFUNCTION("IF(REGEXMATCH(A523, ""^00-""), 0, IF(AND(NE(F523, """"), NE(G523, """")), 1, 0))"),1.0)</f>
        <v>1</v>
      </c>
      <c r="R523" s="6">
        <f t="shared" si="1"/>
        <v>1</v>
      </c>
    </row>
    <row r="524">
      <c r="A524" s="1" t="s">
        <v>76</v>
      </c>
      <c r="B524" s="1" t="s">
        <v>1522</v>
      </c>
      <c r="C524" s="1">
        <v>452.0</v>
      </c>
      <c r="D524" s="1">
        <v>77.0</v>
      </c>
      <c r="E524" s="1">
        <v>529.0</v>
      </c>
      <c r="F524" s="1" t="s">
        <v>735</v>
      </c>
      <c r="G524" s="1" t="s">
        <v>736</v>
      </c>
      <c r="H524" s="1" t="s">
        <v>250</v>
      </c>
      <c r="I524" s="1" t="s">
        <v>172</v>
      </c>
      <c r="J524" s="1" t="s">
        <v>702</v>
      </c>
      <c r="K524" s="1" t="s">
        <v>1468</v>
      </c>
      <c r="L524" s="1"/>
      <c r="M524" s="1" t="s">
        <v>250</v>
      </c>
      <c r="N524" s="6">
        <f>IFERROR(__xludf.DUMMYFUNCTION("IF(REGEXMATCH(A524, ""^00-""), 0, IF(AND(EQ(F524, """"), EQ(G524, """")), 1, 0))"),0.0)</f>
        <v>0</v>
      </c>
      <c r="O524" s="6">
        <f>IFERROR(__xludf.DUMMYFUNCTION("IF(REGEXMATCH(A524, ""^00-""), 0, IF(AND(NE(F524, """"), EQ(G524, """")), 1, 0))"),0.0)</f>
        <v>0</v>
      </c>
      <c r="P524" s="6">
        <f>IFERROR(__xludf.DUMMYFUNCTION("IF(REGEXMATCH(A524, ""^00-""), 0, IF(AND(EQ(F524, """"), NE(G524, """")), 1, 0))"),0.0)</f>
        <v>0</v>
      </c>
      <c r="Q524" s="6">
        <f>IFERROR(__xludf.DUMMYFUNCTION("IF(REGEXMATCH(A524, ""^00-""), 0, IF(AND(NE(F524, """"), NE(G524, """")), 1, 0))"),1.0)</f>
        <v>1</v>
      </c>
      <c r="R524" s="6">
        <f t="shared" si="1"/>
        <v>1</v>
      </c>
    </row>
    <row r="525">
      <c r="A525" s="1" t="s">
        <v>76</v>
      </c>
      <c r="B525" s="1" t="s">
        <v>1523</v>
      </c>
      <c r="C525" s="1">
        <v>449.0</v>
      </c>
      <c r="D525" s="1">
        <v>80.0</v>
      </c>
      <c r="E525" s="1">
        <v>529.0</v>
      </c>
      <c r="F525" s="1" t="s">
        <v>738</v>
      </c>
      <c r="G525" s="1" t="s">
        <v>739</v>
      </c>
      <c r="H525" s="1" t="s">
        <v>254</v>
      </c>
      <c r="I525" s="1" t="s">
        <v>172</v>
      </c>
      <c r="J525" s="1" t="s">
        <v>702</v>
      </c>
      <c r="K525" s="1" t="s">
        <v>1468</v>
      </c>
      <c r="L525" s="1"/>
      <c r="M525" s="1" t="s">
        <v>254</v>
      </c>
      <c r="N525" s="6">
        <f>IFERROR(__xludf.DUMMYFUNCTION("IF(REGEXMATCH(A525, ""^00-""), 0, IF(AND(EQ(F525, """"), EQ(G525, """")), 1, 0))"),0.0)</f>
        <v>0</v>
      </c>
      <c r="O525" s="6">
        <f>IFERROR(__xludf.DUMMYFUNCTION("IF(REGEXMATCH(A525, ""^00-""), 0, IF(AND(NE(F525, """"), EQ(G525, """")), 1, 0))"),0.0)</f>
        <v>0</v>
      </c>
      <c r="P525" s="6">
        <f>IFERROR(__xludf.DUMMYFUNCTION("IF(REGEXMATCH(A525, ""^00-""), 0, IF(AND(EQ(F525, """"), NE(G525, """")), 1, 0))"),0.0)</f>
        <v>0</v>
      </c>
      <c r="Q525" s="6">
        <f>IFERROR(__xludf.DUMMYFUNCTION("IF(REGEXMATCH(A525, ""^00-""), 0, IF(AND(NE(F525, """"), NE(G525, """")), 1, 0))"),1.0)</f>
        <v>1</v>
      </c>
      <c r="R525" s="6">
        <f t="shared" si="1"/>
        <v>1</v>
      </c>
    </row>
    <row r="526">
      <c r="A526" s="1" t="s">
        <v>76</v>
      </c>
      <c r="B526" s="1" t="s">
        <v>1524</v>
      </c>
      <c r="C526" s="1">
        <v>451.0</v>
      </c>
      <c r="D526" s="1">
        <v>78.0</v>
      </c>
      <c r="E526" s="1">
        <v>529.0</v>
      </c>
      <c r="F526" s="1" t="s">
        <v>741</v>
      </c>
      <c r="G526" s="1" t="s">
        <v>742</v>
      </c>
      <c r="H526" s="1" t="s">
        <v>235</v>
      </c>
      <c r="I526" s="1" t="s">
        <v>172</v>
      </c>
      <c r="J526" s="1" t="s">
        <v>702</v>
      </c>
      <c r="K526" s="1" t="s">
        <v>1468</v>
      </c>
      <c r="L526" s="1"/>
      <c r="M526" s="1" t="s">
        <v>712</v>
      </c>
      <c r="N526" s="6">
        <f>IFERROR(__xludf.DUMMYFUNCTION("IF(REGEXMATCH(A526, ""^00-""), 0, IF(AND(EQ(F526, """"), EQ(G526, """")), 1, 0))"),0.0)</f>
        <v>0</v>
      </c>
      <c r="O526" s="6">
        <f>IFERROR(__xludf.DUMMYFUNCTION("IF(REGEXMATCH(A526, ""^00-""), 0, IF(AND(NE(F526, """"), EQ(G526, """")), 1, 0))"),0.0)</f>
        <v>0</v>
      </c>
      <c r="P526" s="6">
        <f>IFERROR(__xludf.DUMMYFUNCTION("IF(REGEXMATCH(A526, ""^00-""), 0, IF(AND(EQ(F526, """"), NE(G526, """")), 1, 0))"),0.0)</f>
        <v>0</v>
      </c>
      <c r="Q526" s="6">
        <f>IFERROR(__xludf.DUMMYFUNCTION("IF(REGEXMATCH(A526, ""^00-""), 0, IF(AND(NE(F526, """"), NE(G526, """")), 1, 0))"),1.0)</f>
        <v>1</v>
      </c>
      <c r="R526" s="6">
        <f t="shared" si="1"/>
        <v>1</v>
      </c>
    </row>
    <row r="527">
      <c r="A527" s="1" t="s">
        <v>76</v>
      </c>
      <c r="B527" s="1" t="s">
        <v>1525</v>
      </c>
      <c r="C527" s="1">
        <v>120.0</v>
      </c>
      <c r="D527" s="1">
        <v>409.0</v>
      </c>
      <c r="E527" s="1">
        <v>529.0</v>
      </c>
      <c r="F527" s="1" t="s">
        <v>744</v>
      </c>
      <c r="G527" s="1" t="s">
        <v>745</v>
      </c>
      <c r="H527" s="1" t="s">
        <v>171</v>
      </c>
      <c r="I527" s="1" t="s">
        <v>172</v>
      </c>
      <c r="J527" s="1" t="s">
        <v>702</v>
      </c>
      <c r="K527" s="1" t="s">
        <v>1468</v>
      </c>
      <c r="L527" s="1"/>
      <c r="M527" s="1" t="s">
        <v>171</v>
      </c>
      <c r="N527" s="6">
        <f>IFERROR(__xludf.DUMMYFUNCTION("IF(REGEXMATCH(A527, ""^00-""), 0, IF(AND(EQ(F527, """"), EQ(G527, """")), 1, 0))"),0.0)</f>
        <v>0</v>
      </c>
      <c r="O527" s="6">
        <f>IFERROR(__xludf.DUMMYFUNCTION("IF(REGEXMATCH(A527, ""^00-""), 0, IF(AND(NE(F527, """"), EQ(G527, """")), 1, 0))"),0.0)</f>
        <v>0</v>
      </c>
      <c r="P527" s="6">
        <f>IFERROR(__xludf.DUMMYFUNCTION("IF(REGEXMATCH(A527, ""^00-""), 0, IF(AND(EQ(F527, """"), NE(G527, """")), 1, 0))"),0.0)</f>
        <v>0</v>
      </c>
      <c r="Q527" s="6">
        <f>IFERROR(__xludf.DUMMYFUNCTION("IF(REGEXMATCH(A527, ""^00-""), 0, IF(AND(NE(F527, """"), NE(G527, """")), 1, 0))"),1.0)</f>
        <v>1</v>
      </c>
      <c r="R527" s="6">
        <f t="shared" si="1"/>
        <v>1</v>
      </c>
    </row>
    <row r="528">
      <c r="A528" s="1" t="s">
        <v>78</v>
      </c>
      <c r="B528" s="1" t="s">
        <v>1526</v>
      </c>
      <c r="C528" s="1">
        <v>460.0</v>
      </c>
      <c r="D528" s="1">
        <v>67.0</v>
      </c>
      <c r="E528" s="1">
        <v>527.0</v>
      </c>
      <c r="F528" s="1" t="s">
        <v>1527</v>
      </c>
      <c r="G528" s="1" t="s">
        <v>1528</v>
      </c>
      <c r="H528" s="1" t="s">
        <v>250</v>
      </c>
      <c r="I528" s="1" t="s">
        <v>172</v>
      </c>
      <c r="J528" s="1" t="s">
        <v>749</v>
      </c>
      <c r="K528" s="1" t="s">
        <v>1468</v>
      </c>
      <c r="L528" s="1"/>
      <c r="M528" s="1" t="s">
        <v>250</v>
      </c>
      <c r="N528" s="6">
        <f>IFERROR(__xludf.DUMMYFUNCTION("IF(REGEXMATCH(A528, ""^00-""), 0, IF(AND(EQ(F528, """"), EQ(G528, """")), 1, 0))"),0.0)</f>
        <v>0</v>
      </c>
      <c r="O528" s="6">
        <f>IFERROR(__xludf.DUMMYFUNCTION("IF(REGEXMATCH(A528, ""^00-""), 0, IF(AND(NE(F528, """"), EQ(G528, """")), 1, 0))"),0.0)</f>
        <v>0</v>
      </c>
      <c r="P528" s="6">
        <f>IFERROR(__xludf.DUMMYFUNCTION("IF(REGEXMATCH(A528, ""^00-""), 0, IF(AND(EQ(F528, """"), NE(G528, """")), 1, 0))"),0.0)</f>
        <v>0</v>
      </c>
      <c r="Q528" s="6">
        <f>IFERROR(__xludf.DUMMYFUNCTION("IF(REGEXMATCH(A528, ""^00-""), 0, IF(AND(NE(F528, """"), NE(G528, """")), 1, 0))"),1.0)</f>
        <v>1</v>
      </c>
      <c r="R528" s="6">
        <f t="shared" si="1"/>
        <v>1</v>
      </c>
    </row>
    <row r="529">
      <c r="A529" s="1" t="s">
        <v>78</v>
      </c>
      <c r="B529" s="1" t="s">
        <v>1529</v>
      </c>
      <c r="C529" s="1">
        <v>457.0</v>
      </c>
      <c r="D529" s="1">
        <v>70.0</v>
      </c>
      <c r="E529" s="1">
        <v>527.0</v>
      </c>
      <c r="F529" s="1" t="s">
        <v>1530</v>
      </c>
      <c r="G529" s="1" t="s">
        <v>1531</v>
      </c>
      <c r="H529" s="1" t="s">
        <v>254</v>
      </c>
      <c r="I529" s="1" t="s">
        <v>172</v>
      </c>
      <c r="J529" s="1" t="s">
        <v>749</v>
      </c>
      <c r="K529" s="1" t="s">
        <v>1468</v>
      </c>
      <c r="L529" s="1"/>
      <c r="M529" s="1" t="s">
        <v>254</v>
      </c>
      <c r="N529" s="6">
        <f>IFERROR(__xludf.DUMMYFUNCTION("IF(REGEXMATCH(A529, ""^00-""), 0, IF(AND(EQ(F529, """"), EQ(G529, """")), 1, 0))"),0.0)</f>
        <v>0</v>
      </c>
      <c r="O529" s="6">
        <f>IFERROR(__xludf.DUMMYFUNCTION("IF(REGEXMATCH(A529, ""^00-""), 0, IF(AND(NE(F529, """"), EQ(G529, """")), 1, 0))"),0.0)</f>
        <v>0</v>
      </c>
      <c r="P529" s="6">
        <f>IFERROR(__xludf.DUMMYFUNCTION("IF(REGEXMATCH(A529, ""^00-""), 0, IF(AND(EQ(F529, """"), NE(G529, """")), 1, 0))"),0.0)</f>
        <v>0</v>
      </c>
      <c r="Q529" s="6">
        <f>IFERROR(__xludf.DUMMYFUNCTION("IF(REGEXMATCH(A529, ""^00-""), 0, IF(AND(NE(F529, """"), NE(G529, """")), 1, 0))"),1.0)</f>
        <v>1</v>
      </c>
      <c r="R529" s="6">
        <f t="shared" si="1"/>
        <v>1</v>
      </c>
    </row>
    <row r="530">
      <c r="A530" s="1" t="s">
        <v>78</v>
      </c>
      <c r="B530" s="1" t="s">
        <v>1532</v>
      </c>
      <c r="C530" s="1">
        <v>460.0</v>
      </c>
      <c r="D530" s="1">
        <v>67.0</v>
      </c>
      <c r="E530" s="1">
        <v>527.0</v>
      </c>
      <c r="F530" s="1" t="s">
        <v>1533</v>
      </c>
      <c r="G530" s="1" t="s">
        <v>1534</v>
      </c>
      <c r="H530" s="1" t="s">
        <v>269</v>
      </c>
      <c r="I530" s="1" t="s">
        <v>172</v>
      </c>
      <c r="J530" s="1" t="s">
        <v>749</v>
      </c>
      <c r="K530" s="1" t="s">
        <v>1468</v>
      </c>
      <c r="L530" s="1"/>
      <c r="M530" s="1" t="s">
        <v>760</v>
      </c>
      <c r="N530" s="6">
        <f>IFERROR(__xludf.DUMMYFUNCTION("IF(REGEXMATCH(A530, ""^00-""), 0, IF(AND(EQ(F530, """"), EQ(G530, """")), 1, 0))"),0.0)</f>
        <v>0</v>
      </c>
      <c r="O530" s="6">
        <f>IFERROR(__xludf.DUMMYFUNCTION("IF(REGEXMATCH(A530, ""^00-""), 0, IF(AND(NE(F530, """"), EQ(G530, """")), 1, 0))"),0.0)</f>
        <v>0</v>
      </c>
      <c r="P530" s="6">
        <f>IFERROR(__xludf.DUMMYFUNCTION("IF(REGEXMATCH(A530, ""^00-""), 0, IF(AND(EQ(F530, """"), NE(G530, """")), 1, 0))"),0.0)</f>
        <v>0</v>
      </c>
      <c r="Q530" s="6">
        <f>IFERROR(__xludf.DUMMYFUNCTION("IF(REGEXMATCH(A530, ""^00-""), 0, IF(AND(NE(F530, """"), NE(G530, """")), 1, 0))"),1.0)</f>
        <v>1</v>
      </c>
      <c r="R530" s="6">
        <f t="shared" si="1"/>
        <v>1</v>
      </c>
    </row>
    <row r="531">
      <c r="A531" s="1" t="s">
        <v>78</v>
      </c>
      <c r="B531" s="1" t="s">
        <v>1535</v>
      </c>
      <c r="C531" s="1">
        <v>460.0</v>
      </c>
      <c r="D531" s="1">
        <v>67.0</v>
      </c>
      <c r="E531" s="1">
        <v>527.0</v>
      </c>
      <c r="F531" s="1" t="s">
        <v>1536</v>
      </c>
      <c r="G531" s="1" t="s">
        <v>1537</v>
      </c>
      <c r="H531" s="1" t="s">
        <v>269</v>
      </c>
      <c r="I531" s="1" t="s">
        <v>172</v>
      </c>
      <c r="J531" s="1" t="s">
        <v>749</v>
      </c>
      <c r="K531" s="1" t="s">
        <v>1468</v>
      </c>
      <c r="L531" s="1"/>
      <c r="M531" s="1" t="s">
        <v>764</v>
      </c>
      <c r="N531" s="6">
        <f>IFERROR(__xludf.DUMMYFUNCTION("IF(REGEXMATCH(A531, ""^00-""), 0, IF(AND(EQ(F531, """"), EQ(G531, """")), 1, 0))"),0.0)</f>
        <v>0</v>
      </c>
      <c r="O531" s="6">
        <f>IFERROR(__xludf.DUMMYFUNCTION("IF(REGEXMATCH(A531, ""^00-""), 0, IF(AND(NE(F531, """"), EQ(G531, """")), 1, 0))"),0.0)</f>
        <v>0</v>
      </c>
      <c r="P531" s="6">
        <f>IFERROR(__xludf.DUMMYFUNCTION("IF(REGEXMATCH(A531, ""^00-""), 0, IF(AND(EQ(F531, """"), NE(G531, """")), 1, 0))"),0.0)</f>
        <v>0</v>
      </c>
      <c r="Q531" s="6">
        <f>IFERROR(__xludf.DUMMYFUNCTION("IF(REGEXMATCH(A531, ""^00-""), 0, IF(AND(NE(F531, """"), NE(G531, """")), 1, 0))"),1.0)</f>
        <v>1</v>
      </c>
      <c r="R531" s="6">
        <f t="shared" si="1"/>
        <v>1</v>
      </c>
    </row>
    <row r="532">
      <c r="A532" s="1" t="s">
        <v>78</v>
      </c>
      <c r="B532" s="1" t="s">
        <v>1538</v>
      </c>
      <c r="C532" s="1">
        <v>459.0</v>
      </c>
      <c r="D532" s="1">
        <v>68.0</v>
      </c>
      <c r="E532" s="1">
        <v>527.0</v>
      </c>
      <c r="F532" s="1" t="s">
        <v>1539</v>
      </c>
      <c r="G532" s="1" t="s">
        <v>1540</v>
      </c>
      <c r="H532" s="1" t="s">
        <v>269</v>
      </c>
      <c r="I532" s="1" t="s">
        <v>172</v>
      </c>
      <c r="J532" s="1" t="s">
        <v>749</v>
      </c>
      <c r="K532" s="1" t="s">
        <v>1468</v>
      </c>
      <c r="L532" s="1"/>
      <c r="M532" s="1" t="s">
        <v>768</v>
      </c>
      <c r="N532" s="6">
        <f>IFERROR(__xludf.DUMMYFUNCTION("IF(REGEXMATCH(A532, ""^00-""), 0, IF(AND(EQ(F532, """"), EQ(G532, """")), 1, 0))"),0.0)</f>
        <v>0</v>
      </c>
      <c r="O532" s="6">
        <f>IFERROR(__xludf.DUMMYFUNCTION("IF(REGEXMATCH(A532, ""^00-""), 0, IF(AND(NE(F532, """"), EQ(G532, """")), 1, 0))"),0.0)</f>
        <v>0</v>
      </c>
      <c r="P532" s="6">
        <f>IFERROR(__xludf.DUMMYFUNCTION("IF(REGEXMATCH(A532, ""^00-""), 0, IF(AND(EQ(F532, """"), NE(G532, """")), 1, 0))"),0.0)</f>
        <v>0</v>
      </c>
      <c r="Q532" s="6">
        <f>IFERROR(__xludf.DUMMYFUNCTION("IF(REGEXMATCH(A532, ""^00-""), 0, IF(AND(NE(F532, """"), NE(G532, """")), 1, 0))"),1.0)</f>
        <v>1</v>
      </c>
      <c r="R532" s="6">
        <f t="shared" si="1"/>
        <v>1</v>
      </c>
    </row>
    <row r="533">
      <c r="A533" s="1" t="s">
        <v>78</v>
      </c>
      <c r="B533" s="1" t="s">
        <v>1541</v>
      </c>
      <c r="C533" s="1">
        <v>431.0</v>
      </c>
      <c r="D533" s="1">
        <v>96.0</v>
      </c>
      <c r="E533" s="1">
        <v>527.0</v>
      </c>
      <c r="F533" s="1" t="s">
        <v>1542</v>
      </c>
      <c r="G533" s="1" t="s">
        <v>1543</v>
      </c>
      <c r="H533" s="1" t="s">
        <v>269</v>
      </c>
      <c r="I533" s="1" t="s">
        <v>172</v>
      </c>
      <c r="J533" s="1" t="s">
        <v>749</v>
      </c>
      <c r="K533" s="1" t="s">
        <v>1468</v>
      </c>
      <c r="L533" s="1"/>
      <c r="M533" s="1" t="s">
        <v>772</v>
      </c>
      <c r="N533" s="6">
        <f>IFERROR(__xludf.DUMMYFUNCTION("IF(REGEXMATCH(A533, ""^00-""), 0, IF(AND(EQ(F533, """"), EQ(G533, """")), 1, 0))"),0.0)</f>
        <v>0</v>
      </c>
      <c r="O533" s="6">
        <f>IFERROR(__xludf.DUMMYFUNCTION("IF(REGEXMATCH(A533, ""^00-""), 0, IF(AND(NE(F533, """"), EQ(G533, """")), 1, 0))"),0.0)</f>
        <v>0</v>
      </c>
      <c r="P533" s="6">
        <f>IFERROR(__xludf.DUMMYFUNCTION("IF(REGEXMATCH(A533, ""^00-""), 0, IF(AND(EQ(F533, """"), NE(G533, """")), 1, 0))"),0.0)</f>
        <v>0</v>
      </c>
      <c r="Q533" s="6">
        <f>IFERROR(__xludf.DUMMYFUNCTION("IF(REGEXMATCH(A533, ""^00-""), 0, IF(AND(NE(F533, """"), NE(G533, """")), 1, 0))"),1.0)</f>
        <v>1</v>
      </c>
      <c r="R533" s="6">
        <f t="shared" si="1"/>
        <v>1</v>
      </c>
    </row>
    <row r="534">
      <c r="A534" s="1" t="s">
        <v>78</v>
      </c>
      <c r="B534" s="1" t="s">
        <v>1544</v>
      </c>
      <c r="C534" s="1">
        <v>455.0</v>
      </c>
      <c r="D534" s="1">
        <v>72.0</v>
      </c>
      <c r="E534" s="1">
        <v>527.0</v>
      </c>
      <c r="F534" s="1" t="s">
        <v>1545</v>
      </c>
      <c r="G534" s="1" t="s">
        <v>1546</v>
      </c>
      <c r="H534" s="1" t="s">
        <v>269</v>
      </c>
      <c r="I534" s="1" t="s">
        <v>172</v>
      </c>
      <c r="J534" s="1" t="s">
        <v>749</v>
      </c>
      <c r="K534" s="1" t="s">
        <v>1468</v>
      </c>
      <c r="L534" s="1"/>
      <c r="M534" s="1" t="s">
        <v>776</v>
      </c>
      <c r="N534" s="6">
        <f>IFERROR(__xludf.DUMMYFUNCTION("IF(REGEXMATCH(A534, ""^00-""), 0, IF(AND(EQ(F534, """"), EQ(G534, """")), 1, 0))"),0.0)</f>
        <v>0</v>
      </c>
      <c r="O534" s="6">
        <f>IFERROR(__xludf.DUMMYFUNCTION("IF(REGEXMATCH(A534, ""^00-""), 0, IF(AND(NE(F534, """"), EQ(G534, """")), 1, 0))"),0.0)</f>
        <v>0</v>
      </c>
      <c r="P534" s="6">
        <f>IFERROR(__xludf.DUMMYFUNCTION("IF(REGEXMATCH(A534, ""^00-""), 0, IF(AND(EQ(F534, """"), NE(G534, """")), 1, 0))"),0.0)</f>
        <v>0</v>
      </c>
      <c r="Q534" s="6">
        <f>IFERROR(__xludf.DUMMYFUNCTION("IF(REGEXMATCH(A534, ""^00-""), 0, IF(AND(NE(F534, """"), NE(G534, """")), 1, 0))"),1.0)</f>
        <v>1</v>
      </c>
      <c r="R534" s="6">
        <f t="shared" si="1"/>
        <v>1</v>
      </c>
    </row>
    <row r="535">
      <c r="A535" s="1" t="s">
        <v>78</v>
      </c>
      <c r="B535" s="1" t="s">
        <v>1547</v>
      </c>
      <c r="C535" s="1">
        <v>436.0</v>
      </c>
      <c r="D535" s="1">
        <v>91.0</v>
      </c>
      <c r="E535" s="1">
        <v>527.0</v>
      </c>
      <c r="F535" s="1" t="s">
        <v>1548</v>
      </c>
      <c r="G535" s="1" t="s">
        <v>1549</v>
      </c>
      <c r="H535" s="1" t="s">
        <v>269</v>
      </c>
      <c r="I535" s="1" t="s">
        <v>172</v>
      </c>
      <c r="J535" s="1" t="s">
        <v>749</v>
      </c>
      <c r="K535" s="1" t="s">
        <v>1468</v>
      </c>
      <c r="L535" s="1"/>
      <c r="M535" s="1" t="s">
        <v>780</v>
      </c>
      <c r="N535" s="6">
        <f>IFERROR(__xludf.DUMMYFUNCTION("IF(REGEXMATCH(A535, ""^00-""), 0, IF(AND(EQ(F535, """"), EQ(G535, """")), 1, 0))"),0.0)</f>
        <v>0</v>
      </c>
      <c r="O535" s="6">
        <f>IFERROR(__xludf.DUMMYFUNCTION("IF(REGEXMATCH(A535, ""^00-""), 0, IF(AND(NE(F535, """"), EQ(G535, """")), 1, 0))"),0.0)</f>
        <v>0</v>
      </c>
      <c r="P535" s="6">
        <f>IFERROR(__xludf.DUMMYFUNCTION("IF(REGEXMATCH(A535, ""^00-""), 0, IF(AND(EQ(F535, """"), NE(G535, """")), 1, 0))"),0.0)</f>
        <v>0</v>
      </c>
      <c r="Q535" s="6">
        <f>IFERROR(__xludf.DUMMYFUNCTION("IF(REGEXMATCH(A535, ""^00-""), 0, IF(AND(NE(F535, """"), NE(G535, """")), 1, 0))"),1.0)</f>
        <v>1</v>
      </c>
      <c r="R535" s="6">
        <f t="shared" si="1"/>
        <v>1</v>
      </c>
    </row>
    <row r="536">
      <c r="A536" s="1" t="s">
        <v>78</v>
      </c>
      <c r="B536" s="1" t="s">
        <v>1550</v>
      </c>
      <c r="C536" s="1">
        <v>441.0</v>
      </c>
      <c r="D536" s="1">
        <v>86.0</v>
      </c>
      <c r="E536" s="1">
        <v>527.0</v>
      </c>
      <c r="F536" s="1" t="s">
        <v>1551</v>
      </c>
      <c r="G536" s="1" t="s">
        <v>1552</v>
      </c>
      <c r="H536" s="1" t="s">
        <v>269</v>
      </c>
      <c r="I536" s="1" t="s">
        <v>172</v>
      </c>
      <c r="J536" s="1" t="s">
        <v>749</v>
      </c>
      <c r="K536" s="1" t="s">
        <v>1468</v>
      </c>
      <c r="L536" s="1"/>
      <c r="M536" s="1" t="s">
        <v>784</v>
      </c>
      <c r="N536" s="6">
        <f>IFERROR(__xludf.DUMMYFUNCTION("IF(REGEXMATCH(A536, ""^00-""), 0, IF(AND(EQ(F536, """"), EQ(G536, """")), 1, 0))"),0.0)</f>
        <v>0</v>
      </c>
      <c r="O536" s="6">
        <f>IFERROR(__xludf.DUMMYFUNCTION("IF(REGEXMATCH(A536, ""^00-""), 0, IF(AND(NE(F536, """"), EQ(G536, """")), 1, 0))"),0.0)</f>
        <v>0</v>
      </c>
      <c r="P536" s="6">
        <f>IFERROR(__xludf.DUMMYFUNCTION("IF(REGEXMATCH(A536, ""^00-""), 0, IF(AND(EQ(F536, """"), NE(G536, """")), 1, 0))"),0.0)</f>
        <v>0</v>
      </c>
      <c r="Q536" s="6">
        <f>IFERROR(__xludf.DUMMYFUNCTION("IF(REGEXMATCH(A536, ""^00-""), 0, IF(AND(NE(F536, """"), NE(G536, """")), 1, 0))"),1.0)</f>
        <v>1</v>
      </c>
      <c r="R536" s="6">
        <f t="shared" si="1"/>
        <v>1</v>
      </c>
    </row>
    <row r="537">
      <c r="A537" s="1" t="s">
        <v>78</v>
      </c>
      <c r="B537" s="1" t="s">
        <v>1553</v>
      </c>
      <c r="C537" s="1">
        <v>458.0</v>
      </c>
      <c r="D537" s="1">
        <v>69.0</v>
      </c>
      <c r="E537" s="1">
        <v>527.0</v>
      </c>
      <c r="F537" s="1" t="s">
        <v>1554</v>
      </c>
      <c r="G537" s="1" t="s">
        <v>1555</v>
      </c>
      <c r="H537" s="1" t="s">
        <v>269</v>
      </c>
      <c r="I537" s="1" t="s">
        <v>172</v>
      </c>
      <c r="J537" s="1" t="s">
        <v>749</v>
      </c>
      <c r="K537" s="1" t="s">
        <v>1468</v>
      </c>
      <c r="L537" s="1"/>
      <c r="M537" s="1" t="s">
        <v>788</v>
      </c>
      <c r="N537" s="6">
        <f>IFERROR(__xludf.DUMMYFUNCTION("IF(REGEXMATCH(A537, ""^00-""), 0, IF(AND(EQ(F537, """"), EQ(G537, """")), 1, 0))"),0.0)</f>
        <v>0</v>
      </c>
      <c r="O537" s="6">
        <f>IFERROR(__xludf.DUMMYFUNCTION("IF(REGEXMATCH(A537, ""^00-""), 0, IF(AND(NE(F537, """"), EQ(G537, """")), 1, 0))"),0.0)</f>
        <v>0</v>
      </c>
      <c r="P537" s="6">
        <f>IFERROR(__xludf.DUMMYFUNCTION("IF(REGEXMATCH(A537, ""^00-""), 0, IF(AND(EQ(F537, """"), NE(G537, """")), 1, 0))"),0.0)</f>
        <v>0</v>
      </c>
      <c r="Q537" s="6">
        <f>IFERROR(__xludf.DUMMYFUNCTION("IF(REGEXMATCH(A537, ""^00-""), 0, IF(AND(NE(F537, """"), NE(G537, """")), 1, 0))"),1.0)</f>
        <v>1</v>
      </c>
      <c r="R537" s="6">
        <f t="shared" si="1"/>
        <v>1</v>
      </c>
    </row>
    <row r="538">
      <c r="A538" s="1" t="s">
        <v>78</v>
      </c>
      <c r="B538" s="1" t="s">
        <v>1556</v>
      </c>
      <c r="C538" s="1">
        <v>459.0</v>
      </c>
      <c r="D538" s="1">
        <v>68.0</v>
      </c>
      <c r="E538" s="1">
        <v>527.0</v>
      </c>
      <c r="F538" s="1" t="s">
        <v>1557</v>
      </c>
      <c r="G538" s="1" t="s">
        <v>1558</v>
      </c>
      <c r="H538" s="1" t="s">
        <v>269</v>
      </c>
      <c r="I538" s="1" t="s">
        <v>172</v>
      </c>
      <c r="J538" s="1" t="s">
        <v>749</v>
      </c>
      <c r="K538" s="1" t="s">
        <v>1468</v>
      </c>
      <c r="L538" s="1"/>
      <c r="M538" s="1" t="s">
        <v>792</v>
      </c>
      <c r="N538" s="6">
        <f>IFERROR(__xludf.DUMMYFUNCTION("IF(REGEXMATCH(A538, ""^00-""), 0, IF(AND(EQ(F538, """"), EQ(G538, """")), 1, 0))"),0.0)</f>
        <v>0</v>
      </c>
      <c r="O538" s="6">
        <f>IFERROR(__xludf.DUMMYFUNCTION("IF(REGEXMATCH(A538, ""^00-""), 0, IF(AND(NE(F538, """"), EQ(G538, """")), 1, 0))"),0.0)</f>
        <v>0</v>
      </c>
      <c r="P538" s="6">
        <f>IFERROR(__xludf.DUMMYFUNCTION("IF(REGEXMATCH(A538, ""^00-""), 0, IF(AND(EQ(F538, """"), NE(G538, """")), 1, 0))"),0.0)</f>
        <v>0</v>
      </c>
      <c r="Q538" s="6">
        <f>IFERROR(__xludf.DUMMYFUNCTION("IF(REGEXMATCH(A538, ""^00-""), 0, IF(AND(NE(F538, """"), NE(G538, """")), 1, 0))"),1.0)</f>
        <v>1</v>
      </c>
      <c r="R538" s="6">
        <f t="shared" si="1"/>
        <v>1</v>
      </c>
    </row>
    <row r="539">
      <c r="A539" s="1" t="s">
        <v>78</v>
      </c>
      <c r="B539" s="1" t="s">
        <v>1559</v>
      </c>
      <c r="C539" s="1">
        <v>459.0</v>
      </c>
      <c r="D539" s="1">
        <v>68.0</v>
      </c>
      <c r="E539" s="1">
        <v>527.0</v>
      </c>
      <c r="F539" s="1" t="s">
        <v>1560</v>
      </c>
      <c r="G539" s="1" t="s">
        <v>1561</v>
      </c>
      <c r="H539" s="1" t="s">
        <v>190</v>
      </c>
      <c r="I539" s="1" t="s">
        <v>172</v>
      </c>
      <c r="J539" s="1" t="s">
        <v>749</v>
      </c>
      <c r="K539" s="1" t="s">
        <v>1468</v>
      </c>
      <c r="L539" s="1"/>
      <c r="M539" s="1" t="s">
        <v>191</v>
      </c>
      <c r="N539" s="6">
        <f>IFERROR(__xludf.DUMMYFUNCTION("IF(REGEXMATCH(A539, ""^00-""), 0, IF(AND(EQ(F539, """"), EQ(G539, """")), 1, 0))"),0.0)</f>
        <v>0</v>
      </c>
      <c r="O539" s="6">
        <f>IFERROR(__xludf.DUMMYFUNCTION("IF(REGEXMATCH(A539, ""^00-""), 0, IF(AND(NE(F539, """"), EQ(G539, """")), 1, 0))"),0.0)</f>
        <v>0</v>
      </c>
      <c r="P539" s="6">
        <f>IFERROR(__xludf.DUMMYFUNCTION("IF(REGEXMATCH(A539, ""^00-""), 0, IF(AND(EQ(F539, """"), NE(G539, """")), 1, 0))"),0.0)</f>
        <v>0</v>
      </c>
      <c r="Q539" s="6">
        <f>IFERROR(__xludf.DUMMYFUNCTION("IF(REGEXMATCH(A539, ""^00-""), 0, IF(AND(NE(F539, """"), NE(G539, """")), 1, 0))"),1.0)</f>
        <v>1</v>
      </c>
      <c r="R539" s="6">
        <f t="shared" si="1"/>
        <v>1</v>
      </c>
    </row>
    <row r="540">
      <c r="A540" s="1" t="s">
        <v>78</v>
      </c>
      <c r="B540" s="1" t="s">
        <v>1562</v>
      </c>
      <c r="C540" s="1">
        <v>459.0</v>
      </c>
      <c r="D540" s="1">
        <v>68.0</v>
      </c>
      <c r="E540" s="1">
        <v>527.0</v>
      </c>
      <c r="F540" s="1" t="s">
        <v>1563</v>
      </c>
      <c r="G540" s="1" t="s">
        <v>1564</v>
      </c>
      <c r="H540" s="1" t="s">
        <v>190</v>
      </c>
      <c r="I540" s="1" t="s">
        <v>172</v>
      </c>
      <c r="J540" s="1" t="s">
        <v>749</v>
      </c>
      <c r="K540" s="1" t="s">
        <v>1468</v>
      </c>
      <c r="L540" s="1"/>
      <c r="M540" s="1" t="s">
        <v>191</v>
      </c>
      <c r="N540" s="6">
        <f>IFERROR(__xludf.DUMMYFUNCTION("IF(REGEXMATCH(A540, ""^00-""), 0, IF(AND(EQ(F540, """"), EQ(G540, """")), 1, 0))"),0.0)</f>
        <v>0</v>
      </c>
      <c r="O540" s="6">
        <f>IFERROR(__xludf.DUMMYFUNCTION("IF(REGEXMATCH(A540, ""^00-""), 0, IF(AND(NE(F540, """"), EQ(G540, """")), 1, 0))"),0.0)</f>
        <v>0</v>
      </c>
      <c r="P540" s="6">
        <f>IFERROR(__xludf.DUMMYFUNCTION("IF(REGEXMATCH(A540, ""^00-""), 0, IF(AND(EQ(F540, """"), NE(G540, """")), 1, 0))"),0.0)</f>
        <v>0</v>
      </c>
      <c r="Q540" s="6">
        <f>IFERROR(__xludf.DUMMYFUNCTION("IF(REGEXMATCH(A540, ""^00-""), 0, IF(AND(NE(F540, """"), NE(G540, """")), 1, 0))"),1.0)</f>
        <v>1</v>
      </c>
      <c r="R540" s="6">
        <f t="shared" si="1"/>
        <v>1</v>
      </c>
    </row>
    <row r="541">
      <c r="A541" s="1" t="s">
        <v>78</v>
      </c>
      <c r="B541" s="1" t="s">
        <v>1565</v>
      </c>
      <c r="C541" s="1">
        <v>456.0</v>
      </c>
      <c r="D541" s="1">
        <v>71.0</v>
      </c>
      <c r="E541" s="1">
        <v>527.0</v>
      </c>
      <c r="F541" s="1" t="s">
        <v>1566</v>
      </c>
      <c r="G541" s="1" t="s">
        <v>1567</v>
      </c>
      <c r="H541" s="1" t="s">
        <v>190</v>
      </c>
      <c r="I541" s="1" t="s">
        <v>172</v>
      </c>
      <c r="J541" s="1" t="s">
        <v>749</v>
      </c>
      <c r="K541" s="1" t="s">
        <v>1468</v>
      </c>
      <c r="L541" s="1"/>
      <c r="M541" s="1" t="s">
        <v>191</v>
      </c>
      <c r="N541" s="6">
        <f>IFERROR(__xludf.DUMMYFUNCTION("IF(REGEXMATCH(A541, ""^00-""), 0, IF(AND(EQ(F541, """"), EQ(G541, """")), 1, 0))"),0.0)</f>
        <v>0</v>
      </c>
      <c r="O541" s="6">
        <f>IFERROR(__xludf.DUMMYFUNCTION("IF(REGEXMATCH(A541, ""^00-""), 0, IF(AND(NE(F541, """"), EQ(G541, """")), 1, 0))"),0.0)</f>
        <v>0</v>
      </c>
      <c r="P541" s="6">
        <f>IFERROR(__xludf.DUMMYFUNCTION("IF(REGEXMATCH(A541, ""^00-""), 0, IF(AND(EQ(F541, """"), NE(G541, """")), 1, 0))"),0.0)</f>
        <v>0</v>
      </c>
      <c r="Q541" s="6">
        <f>IFERROR(__xludf.DUMMYFUNCTION("IF(REGEXMATCH(A541, ""^00-""), 0, IF(AND(NE(F541, """"), NE(G541, """")), 1, 0))"),1.0)</f>
        <v>1</v>
      </c>
      <c r="R541" s="6">
        <f t="shared" si="1"/>
        <v>1</v>
      </c>
    </row>
    <row r="542">
      <c r="A542" s="1" t="s">
        <v>78</v>
      </c>
      <c r="B542" s="1" t="s">
        <v>1568</v>
      </c>
      <c r="C542" s="1">
        <v>455.0</v>
      </c>
      <c r="D542" s="1">
        <v>72.0</v>
      </c>
      <c r="E542" s="1">
        <v>527.0</v>
      </c>
      <c r="F542" s="1" t="s">
        <v>1569</v>
      </c>
      <c r="G542" s="1" t="s">
        <v>1570</v>
      </c>
      <c r="H542" s="1" t="s">
        <v>190</v>
      </c>
      <c r="I542" s="1" t="s">
        <v>172</v>
      </c>
      <c r="J542" s="1" t="s">
        <v>749</v>
      </c>
      <c r="K542" s="1" t="s">
        <v>1468</v>
      </c>
      <c r="L542" s="1"/>
      <c r="M542" s="1" t="s">
        <v>191</v>
      </c>
      <c r="N542" s="6">
        <f>IFERROR(__xludf.DUMMYFUNCTION("IF(REGEXMATCH(A542, ""^00-""), 0, IF(AND(EQ(F542, """"), EQ(G542, """")), 1, 0))"),0.0)</f>
        <v>0</v>
      </c>
      <c r="O542" s="6">
        <f>IFERROR(__xludf.DUMMYFUNCTION("IF(REGEXMATCH(A542, ""^00-""), 0, IF(AND(NE(F542, """"), EQ(G542, """")), 1, 0))"),0.0)</f>
        <v>0</v>
      </c>
      <c r="P542" s="6">
        <f>IFERROR(__xludf.DUMMYFUNCTION("IF(REGEXMATCH(A542, ""^00-""), 0, IF(AND(EQ(F542, """"), NE(G542, """")), 1, 0))"),0.0)</f>
        <v>0</v>
      </c>
      <c r="Q542" s="6">
        <f>IFERROR(__xludf.DUMMYFUNCTION("IF(REGEXMATCH(A542, ""^00-""), 0, IF(AND(NE(F542, """"), NE(G542, """")), 1, 0))"),1.0)</f>
        <v>1</v>
      </c>
      <c r="R542" s="6">
        <f t="shared" si="1"/>
        <v>1</v>
      </c>
    </row>
    <row r="543">
      <c r="A543" s="1" t="s">
        <v>78</v>
      </c>
      <c r="B543" s="1" t="s">
        <v>1571</v>
      </c>
      <c r="C543" s="1">
        <v>457.0</v>
      </c>
      <c r="D543" s="1">
        <v>70.0</v>
      </c>
      <c r="E543" s="1">
        <v>527.0</v>
      </c>
      <c r="F543" s="1" t="s">
        <v>1572</v>
      </c>
      <c r="G543" s="1" t="s">
        <v>1573</v>
      </c>
      <c r="H543" s="1" t="s">
        <v>190</v>
      </c>
      <c r="I543" s="1" t="s">
        <v>172</v>
      </c>
      <c r="J543" s="1" t="s">
        <v>749</v>
      </c>
      <c r="K543" s="1" t="s">
        <v>1468</v>
      </c>
      <c r="L543" s="1"/>
      <c r="M543" s="1" t="s">
        <v>191</v>
      </c>
      <c r="N543" s="6">
        <f>IFERROR(__xludf.DUMMYFUNCTION("IF(REGEXMATCH(A543, ""^00-""), 0, IF(AND(EQ(F543, """"), EQ(G543, """")), 1, 0))"),0.0)</f>
        <v>0</v>
      </c>
      <c r="O543" s="6">
        <f>IFERROR(__xludf.DUMMYFUNCTION("IF(REGEXMATCH(A543, ""^00-""), 0, IF(AND(NE(F543, """"), EQ(G543, """")), 1, 0))"),0.0)</f>
        <v>0</v>
      </c>
      <c r="P543" s="6">
        <f>IFERROR(__xludf.DUMMYFUNCTION("IF(REGEXMATCH(A543, ""^00-""), 0, IF(AND(EQ(F543, """"), NE(G543, """")), 1, 0))"),0.0)</f>
        <v>0</v>
      </c>
      <c r="Q543" s="6">
        <f>IFERROR(__xludf.DUMMYFUNCTION("IF(REGEXMATCH(A543, ""^00-""), 0, IF(AND(NE(F543, """"), NE(G543, """")), 1, 0))"),1.0)</f>
        <v>1</v>
      </c>
      <c r="R543" s="6">
        <f t="shared" si="1"/>
        <v>1</v>
      </c>
    </row>
    <row r="544">
      <c r="A544" s="1" t="s">
        <v>78</v>
      </c>
      <c r="B544" s="1" t="s">
        <v>1574</v>
      </c>
      <c r="C544" s="1">
        <v>451.0</v>
      </c>
      <c r="D544" s="1">
        <v>76.0</v>
      </c>
      <c r="E544" s="1">
        <v>527.0</v>
      </c>
      <c r="F544" s="1" t="s">
        <v>1575</v>
      </c>
      <c r="G544" s="1" t="s">
        <v>1576</v>
      </c>
      <c r="H544" s="1" t="s">
        <v>190</v>
      </c>
      <c r="I544" s="1" t="s">
        <v>172</v>
      </c>
      <c r="J544" s="1" t="s">
        <v>749</v>
      </c>
      <c r="K544" s="1" t="s">
        <v>1468</v>
      </c>
      <c r="L544" s="1"/>
      <c r="M544" s="1" t="s">
        <v>191</v>
      </c>
      <c r="N544" s="6">
        <f>IFERROR(__xludf.DUMMYFUNCTION("IF(REGEXMATCH(A544, ""^00-""), 0, IF(AND(EQ(F544, """"), EQ(G544, """")), 1, 0))"),0.0)</f>
        <v>0</v>
      </c>
      <c r="O544" s="6">
        <f>IFERROR(__xludf.DUMMYFUNCTION("IF(REGEXMATCH(A544, ""^00-""), 0, IF(AND(NE(F544, """"), EQ(G544, """")), 1, 0))"),0.0)</f>
        <v>0</v>
      </c>
      <c r="P544" s="6">
        <f>IFERROR(__xludf.DUMMYFUNCTION("IF(REGEXMATCH(A544, ""^00-""), 0, IF(AND(EQ(F544, """"), NE(G544, """")), 1, 0))"),0.0)</f>
        <v>0</v>
      </c>
      <c r="Q544" s="6">
        <f>IFERROR(__xludf.DUMMYFUNCTION("IF(REGEXMATCH(A544, ""^00-""), 0, IF(AND(NE(F544, """"), NE(G544, """")), 1, 0))"),1.0)</f>
        <v>1</v>
      </c>
      <c r="R544" s="6">
        <f t="shared" si="1"/>
        <v>1</v>
      </c>
    </row>
    <row r="545">
      <c r="A545" s="1" t="s">
        <v>78</v>
      </c>
      <c r="B545" s="1" t="s">
        <v>1577</v>
      </c>
      <c r="C545" s="1">
        <v>151.0</v>
      </c>
      <c r="D545" s="1">
        <v>376.0</v>
      </c>
      <c r="E545" s="1">
        <v>527.0</v>
      </c>
      <c r="F545" s="1" t="s">
        <v>1578</v>
      </c>
      <c r="G545" s="1"/>
      <c r="H545" s="1" t="s">
        <v>190</v>
      </c>
      <c r="I545" s="1" t="s">
        <v>172</v>
      </c>
      <c r="J545" s="1" t="s">
        <v>749</v>
      </c>
      <c r="K545" s="1" t="s">
        <v>1468</v>
      </c>
      <c r="L545" s="1"/>
      <c r="M545" s="1" t="s">
        <v>191</v>
      </c>
      <c r="N545" s="6">
        <f>IFERROR(__xludf.DUMMYFUNCTION("IF(REGEXMATCH(A545, ""^00-""), 0, IF(AND(EQ(F545, """"), EQ(G545, """")), 1, 0))"),0.0)</f>
        <v>0</v>
      </c>
      <c r="O545" s="6">
        <f>IFERROR(__xludf.DUMMYFUNCTION("IF(REGEXMATCH(A545, ""^00-""), 0, IF(AND(NE(F545, """"), EQ(G545, """")), 1, 0))"),1.0)</f>
        <v>1</v>
      </c>
      <c r="P545" s="6">
        <f>IFERROR(__xludf.DUMMYFUNCTION("IF(REGEXMATCH(A545, ""^00-""), 0, IF(AND(EQ(F545, """"), NE(G545, """")), 1, 0))"),0.0)</f>
        <v>0</v>
      </c>
      <c r="Q545" s="6">
        <f>IFERROR(__xludf.DUMMYFUNCTION("IF(REGEXMATCH(A545, ""^00-""), 0, IF(AND(NE(F545, """"), NE(G545, """")), 1, 0))"),0.0)</f>
        <v>0</v>
      </c>
      <c r="R545" s="6">
        <f t="shared" si="1"/>
        <v>1</v>
      </c>
    </row>
    <row r="546">
      <c r="A546" s="1" t="s">
        <v>78</v>
      </c>
      <c r="B546" s="1" t="s">
        <v>1579</v>
      </c>
      <c r="C546" s="1">
        <v>0.0</v>
      </c>
      <c r="D546" s="1">
        <v>527.0</v>
      </c>
      <c r="E546" s="1">
        <v>527.0</v>
      </c>
      <c r="F546" s="1"/>
      <c r="G546" s="1" t="s">
        <v>1580</v>
      </c>
      <c r="H546" s="1" t="s">
        <v>190</v>
      </c>
      <c r="I546" s="1" t="s">
        <v>172</v>
      </c>
      <c r="J546" s="1" t="s">
        <v>749</v>
      </c>
      <c r="K546" s="1" t="s">
        <v>1468</v>
      </c>
      <c r="L546" s="1"/>
      <c r="M546" s="1" t="s">
        <v>191</v>
      </c>
      <c r="N546" s="6">
        <f>IFERROR(__xludf.DUMMYFUNCTION("IF(REGEXMATCH(A546, ""^00-""), 0, IF(AND(EQ(F546, """"), EQ(G546, """")), 1, 0))"),0.0)</f>
        <v>0</v>
      </c>
      <c r="O546" s="6">
        <f>IFERROR(__xludf.DUMMYFUNCTION("IF(REGEXMATCH(A546, ""^00-""), 0, IF(AND(NE(F546, """"), EQ(G546, """")), 1, 0))"),0.0)</f>
        <v>0</v>
      </c>
      <c r="P546" s="6">
        <f>IFERROR(__xludf.DUMMYFUNCTION("IF(REGEXMATCH(A546, ""^00-""), 0, IF(AND(EQ(F546, """"), NE(G546, """")), 1, 0))"),1.0)</f>
        <v>1</v>
      </c>
      <c r="Q546" s="6">
        <f>IFERROR(__xludf.DUMMYFUNCTION("IF(REGEXMATCH(A546, ""^00-""), 0, IF(AND(NE(F546, """"), NE(G546, """")), 1, 0))"),0.0)</f>
        <v>0</v>
      </c>
      <c r="R546" s="6">
        <f t="shared" si="1"/>
        <v>1</v>
      </c>
    </row>
    <row r="547">
      <c r="A547" s="1" t="s">
        <v>80</v>
      </c>
      <c r="B547" s="1" t="s">
        <v>1581</v>
      </c>
      <c r="C547" s="1">
        <v>460.0</v>
      </c>
      <c r="D547" s="1">
        <v>67.0</v>
      </c>
      <c r="E547" s="1">
        <v>527.0</v>
      </c>
      <c r="F547" s="1"/>
      <c r="G547" s="1"/>
      <c r="H547" s="1" t="s">
        <v>182</v>
      </c>
      <c r="I547" s="1" t="s">
        <v>172</v>
      </c>
      <c r="J547" s="1" t="s">
        <v>749</v>
      </c>
      <c r="K547" s="1" t="s">
        <v>1468</v>
      </c>
      <c r="L547" s="1"/>
      <c r="M547" s="1" t="s">
        <v>185</v>
      </c>
      <c r="N547" s="6">
        <f>IFERROR(__xludf.DUMMYFUNCTION("IF(REGEXMATCH(A547, ""^00-""), 0, IF(AND(EQ(F547, """"), EQ(G547, """")), 1, 0))"),1.0)</f>
        <v>1</v>
      </c>
      <c r="O547" s="6">
        <f>IFERROR(__xludf.DUMMYFUNCTION("IF(REGEXMATCH(A547, ""^00-""), 0, IF(AND(NE(F547, """"), EQ(G547, """")), 1, 0))"),0.0)</f>
        <v>0</v>
      </c>
      <c r="P547" s="6">
        <f>IFERROR(__xludf.DUMMYFUNCTION("IF(REGEXMATCH(A547, ""^00-""), 0, IF(AND(EQ(F547, """"), NE(G547, """")), 1, 0))"),0.0)</f>
        <v>0</v>
      </c>
      <c r="Q547" s="6">
        <f>IFERROR(__xludf.DUMMYFUNCTION("IF(REGEXMATCH(A547, ""^00-""), 0, IF(AND(NE(F547, """"), NE(G547, """")), 1, 0))"),0.0)</f>
        <v>0</v>
      </c>
      <c r="R547" s="6">
        <f t="shared" si="1"/>
        <v>1</v>
      </c>
    </row>
    <row r="548">
      <c r="A548" s="1" t="s">
        <v>80</v>
      </c>
      <c r="B548" s="1" t="s">
        <v>1582</v>
      </c>
      <c r="C548" s="1">
        <v>460.0</v>
      </c>
      <c r="D548" s="1">
        <v>67.0</v>
      </c>
      <c r="E548" s="1">
        <v>527.0</v>
      </c>
      <c r="F548" s="1"/>
      <c r="G548" s="1"/>
      <c r="H548" s="1" t="s">
        <v>182</v>
      </c>
      <c r="I548" s="1" t="s">
        <v>172</v>
      </c>
      <c r="J548" s="1" t="s">
        <v>749</v>
      </c>
      <c r="K548" s="1" t="s">
        <v>1468</v>
      </c>
      <c r="L548" s="1"/>
      <c r="M548" s="1" t="s">
        <v>185</v>
      </c>
      <c r="N548" s="6">
        <f>IFERROR(__xludf.DUMMYFUNCTION("IF(REGEXMATCH(A548, ""^00-""), 0, IF(AND(EQ(F548, """"), EQ(G548, """")), 1, 0))"),1.0)</f>
        <v>1</v>
      </c>
      <c r="O548" s="6">
        <f>IFERROR(__xludf.DUMMYFUNCTION("IF(REGEXMATCH(A548, ""^00-""), 0, IF(AND(NE(F548, """"), EQ(G548, """")), 1, 0))"),0.0)</f>
        <v>0</v>
      </c>
      <c r="P548" s="6">
        <f>IFERROR(__xludf.DUMMYFUNCTION("IF(REGEXMATCH(A548, ""^00-""), 0, IF(AND(EQ(F548, """"), NE(G548, """")), 1, 0))"),0.0)</f>
        <v>0</v>
      </c>
      <c r="Q548" s="6">
        <f>IFERROR(__xludf.DUMMYFUNCTION("IF(REGEXMATCH(A548, ""^00-""), 0, IF(AND(NE(F548, """"), NE(G548, """")), 1, 0))"),0.0)</f>
        <v>0</v>
      </c>
      <c r="R548" s="6">
        <f t="shared" si="1"/>
        <v>1</v>
      </c>
    </row>
    <row r="549">
      <c r="A549" s="1" t="s">
        <v>80</v>
      </c>
      <c r="B549" s="1" t="s">
        <v>1583</v>
      </c>
      <c r="C549" s="1">
        <v>460.0</v>
      </c>
      <c r="D549" s="1">
        <v>67.0</v>
      </c>
      <c r="E549" s="1">
        <v>527.0</v>
      </c>
      <c r="F549" s="1"/>
      <c r="G549" s="1"/>
      <c r="H549" s="1" t="s">
        <v>182</v>
      </c>
      <c r="I549" s="1" t="s">
        <v>172</v>
      </c>
      <c r="J549" s="1" t="s">
        <v>749</v>
      </c>
      <c r="K549" s="1" t="s">
        <v>1468</v>
      </c>
      <c r="L549" s="1"/>
      <c r="M549" s="1" t="s">
        <v>185</v>
      </c>
      <c r="N549" s="6">
        <f>IFERROR(__xludf.DUMMYFUNCTION("IF(REGEXMATCH(A549, ""^00-""), 0, IF(AND(EQ(F549, """"), EQ(G549, """")), 1, 0))"),1.0)</f>
        <v>1</v>
      </c>
      <c r="O549" s="6">
        <f>IFERROR(__xludf.DUMMYFUNCTION("IF(REGEXMATCH(A549, ""^00-""), 0, IF(AND(NE(F549, """"), EQ(G549, """")), 1, 0))"),0.0)</f>
        <v>0</v>
      </c>
      <c r="P549" s="6">
        <f>IFERROR(__xludf.DUMMYFUNCTION("IF(REGEXMATCH(A549, ""^00-""), 0, IF(AND(EQ(F549, """"), NE(G549, """")), 1, 0))"),0.0)</f>
        <v>0</v>
      </c>
      <c r="Q549" s="6">
        <f>IFERROR(__xludf.DUMMYFUNCTION("IF(REGEXMATCH(A549, ""^00-""), 0, IF(AND(NE(F549, """"), NE(G549, """")), 1, 0))"),0.0)</f>
        <v>0</v>
      </c>
      <c r="R549" s="6">
        <f t="shared" si="1"/>
        <v>1</v>
      </c>
    </row>
    <row r="550">
      <c r="A550" s="1" t="s">
        <v>82</v>
      </c>
      <c r="B550" s="1" t="s">
        <v>1584</v>
      </c>
      <c r="C550" s="1">
        <v>671.0</v>
      </c>
      <c r="D550" s="1">
        <v>244.0</v>
      </c>
      <c r="E550" s="1">
        <v>915.0</v>
      </c>
      <c r="F550" s="1" t="s">
        <v>1585</v>
      </c>
      <c r="G550" s="1" t="s">
        <v>1585</v>
      </c>
      <c r="H550" s="1" t="s">
        <v>171</v>
      </c>
      <c r="I550" s="1" t="s">
        <v>172</v>
      </c>
      <c r="J550" s="1" t="s">
        <v>1586</v>
      </c>
      <c r="K550" s="1" t="s">
        <v>1468</v>
      </c>
      <c r="L550" s="1"/>
      <c r="M550" s="1" t="s">
        <v>171</v>
      </c>
      <c r="N550" s="6">
        <f>IFERROR(__xludf.DUMMYFUNCTION("IF(REGEXMATCH(A550, ""^00-""), 0, IF(AND(EQ(F550, """"), EQ(G550, """")), 1, 0))"),0.0)</f>
        <v>0</v>
      </c>
      <c r="O550" s="6">
        <f>IFERROR(__xludf.DUMMYFUNCTION("IF(REGEXMATCH(A550, ""^00-""), 0, IF(AND(NE(F550, """"), EQ(G550, """")), 1, 0))"),0.0)</f>
        <v>0</v>
      </c>
      <c r="P550" s="6">
        <f>IFERROR(__xludf.DUMMYFUNCTION("IF(REGEXMATCH(A550, ""^00-""), 0, IF(AND(EQ(F550, """"), NE(G550, """")), 1, 0))"),0.0)</f>
        <v>0</v>
      </c>
      <c r="Q550" s="6">
        <f>IFERROR(__xludf.DUMMYFUNCTION("IF(REGEXMATCH(A550, ""^00-""), 0, IF(AND(NE(F550, """"), NE(G550, """")), 1, 0))"),1.0)</f>
        <v>1</v>
      </c>
      <c r="R550" s="6">
        <f t="shared" si="1"/>
        <v>1</v>
      </c>
    </row>
    <row r="551">
      <c r="A551" s="1" t="s">
        <v>82</v>
      </c>
      <c r="B551" s="1" t="s">
        <v>1587</v>
      </c>
      <c r="C551" s="1">
        <v>671.0</v>
      </c>
      <c r="D551" s="1">
        <v>244.0</v>
      </c>
      <c r="E551" s="1">
        <v>915.0</v>
      </c>
      <c r="F551" s="1"/>
      <c r="G551" s="1" t="s">
        <v>1588</v>
      </c>
      <c r="H551" s="1" t="s">
        <v>182</v>
      </c>
      <c r="I551" s="1" t="s">
        <v>172</v>
      </c>
      <c r="J551" s="1" t="s">
        <v>1586</v>
      </c>
      <c r="K551" s="1" t="s">
        <v>1468</v>
      </c>
      <c r="L551" s="1"/>
      <c r="M551" s="1" t="s">
        <v>185</v>
      </c>
      <c r="N551" s="6">
        <f>IFERROR(__xludf.DUMMYFUNCTION("IF(REGEXMATCH(A551, ""^00-""), 0, IF(AND(EQ(F551, """"), EQ(G551, """")), 1, 0))"),0.0)</f>
        <v>0</v>
      </c>
      <c r="O551" s="6">
        <f>IFERROR(__xludf.DUMMYFUNCTION("IF(REGEXMATCH(A551, ""^00-""), 0, IF(AND(NE(F551, """"), EQ(G551, """")), 1, 0))"),0.0)</f>
        <v>0</v>
      </c>
      <c r="P551" s="6">
        <f>IFERROR(__xludf.DUMMYFUNCTION("IF(REGEXMATCH(A551, ""^00-""), 0, IF(AND(EQ(F551, """"), NE(G551, """")), 1, 0))"),1.0)</f>
        <v>1</v>
      </c>
      <c r="Q551" s="6">
        <f>IFERROR(__xludf.DUMMYFUNCTION("IF(REGEXMATCH(A551, ""^00-""), 0, IF(AND(NE(F551, """"), NE(G551, """")), 1, 0))"),0.0)</f>
        <v>0</v>
      </c>
      <c r="R551" s="6">
        <f t="shared" si="1"/>
        <v>1</v>
      </c>
    </row>
    <row r="552">
      <c r="A552" s="1" t="s">
        <v>82</v>
      </c>
      <c r="B552" s="1" t="s">
        <v>1589</v>
      </c>
      <c r="C552" s="1">
        <v>244.0</v>
      </c>
      <c r="D552" s="1">
        <v>671.0</v>
      </c>
      <c r="E552" s="1">
        <v>915.0</v>
      </c>
      <c r="F552" s="1" t="s">
        <v>1590</v>
      </c>
      <c r="G552" s="1"/>
      <c r="H552" s="1" t="s">
        <v>171</v>
      </c>
      <c r="I552" s="1" t="s">
        <v>172</v>
      </c>
      <c r="J552" s="1" t="s">
        <v>1586</v>
      </c>
      <c r="K552" s="1" t="s">
        <v>1468</v>
      </c>
      <c r="L552" s="1"/>
      <c r="M552" s="1" t="s">
        <v>171</v>
      </c>
      <c r="N552" s="6">
        <f>IFERROR(__xludf.DUMMYFUNCTION("IF(REGEXMATCH(A552, ""^00-""), 0, IF(AND(EQ(F552, """"), EQ(G552, """")), 1, 0))"),0.0)</f>
        <v>0</v>
      </c>
      <c r="O552" s="6">
        <f>IFERROR(__xludf.DUMMYFUNCTION("IF(REGEXMATCH(A552, ""^00-""), 0, IF(AND(NE(F552, """"), EQ(G552, """")), 1, 0))"),1.0)</f>
        <v>1</v>
      </c>
      <c r="P552" s="6">
        <f>IFERROR(__xludf.DUMMYFUNCTION("IF(REGEXMATCH(A552, ""^00-""), 0, IF(AND(EQ(F552, """"), NE(G552, """")), 1, 0))"),0.0)</f>
        <v>0</v>
      </c>
      <c r="Q552" s="6">
        <f>IFERROR(__xludf.DUMMYFUNCTION("IF(REGEXMATCH(A552, ""^00-""), 0, IF(AND(NE(F552, """"), NE(G552, """")), 1, 0))"),0.0)</f>
        <v>0</v>
      </c>
      <c r="R552" s="6">
        <f t="shared" si="1"/>
        <v>1</v>
      </c>
    </row>
    <row r="553">
      <c r="A553" s="1" t="s">
        <v>82</v>
      </c>
      <c r="B553" s="1" t="s">
        <v>1591</v>
      </c>
      <c r="C553" s="1">
        <v>370.0</v>
      </c>
      <c r="D553" s="1">
        <v>545.0</v>
      </c>
      <c r="E553" s="1">
        <v>915.0</v>
      </c>
      <c r="F553" s="1" t="s">
        <v>1592</v>
      </c>
      <c r="G553" s="1" t="s">
        <v>1593</v>
      </c>
      <c r="H553" s="1" t="s">
        <v>182</v>
      </c>
      <c r="I553" s="1" t="s">
        <v>172</v>
      </c>
      <c r="J553" s="1" t="s">
        <v>1586</v>
      </c>
      <c r="K553" s="1" t="s">
        <v>1468</v>
      </c>
      <c r="L553" s="1"/>
      <c r="M553" s="1" t="s">
        <v>257</v>
      </c>
      <c r="N553" s="6">
        <f>IFERROR(__xludf.DUMMYFUNCTION("IF(REGEXMATCH(A553, ""^00-""), 0, IF(AND(EQ(F553, """"), EQ(G553, """")), 1, 0))"),0.0)</f>
        <v>0</v>
      </c>
      <c r="O553" s="6">
        <f>IFERROR(__xludf.DUMMYFUNCTION("IF(REGEXMATCH(A553, ""^00-""), 0, IF(AND(NE(F553, """"), EQ(G553, """")), 1, 0))"),0.0)</f>
        <v>0</v>
      </c>
      <c r="P553" s="6">
        <f>IFERROR(__xludf.DUMMYFUNCTION("IF(REGEXMATCH(A553, ""^00-""), 0, IF(AND(EQ(F553, """"), NE(G553, """")), 1, 0))"),0.0)</f>
        <v>0</v>
      </c>
      <c r="Q553" s="6">
        <f>IFERROR(__xludf.DUMMYFUNCTION("IF(REGEXMATCH(A553, ""^00-""), 0, IF(AND(NE(F553, """"), NE(G553, """")), 1, 0))"),1.0)</f>
        <v>1</v>
      </c>
      <c r="R553" s="6">
        <f t="shared" si="1"/>
        <v>1</v>
      </c>
    </row>
    <row r="554">
      <c r="A554" s="1" t="s">
        <v>82</v>
      </c>
      <c r="B554" s="1" t="s">
        <v>1594</v>
      </c>
      <c r="C554" s="1">
        <v>505.0</v>
      </c>
      <c r="D554" s="1">
        <v>410.0</v>
      </c>
      <c r="E554" s="1">
        <v>915.0</v>
      </c>
      <c r="F554" s="1" t="s">
        <v>1595</v>
      </c>
      <c r="G554" s="1" t="s">
        <v>1596</v>
      </c>
      <c r="H554" s="1" t="s">
        <v>190</v>
      </c>
      <c r="I554" s="1" t="s">
        <v>172</v>
      </c>
      <c r="J554" s="1" t="s">
        <v>1586</v>
      </c>
      <c r="K554" s="1" t="s">
        <v>1468</v>
      </c>
      <c r="L554" s="1"/>
      <c r="M554" s="1" t="s">
        <v>191</v>
      </c>
      <c r="N554" s="6">
        <f>IFERROR(__xludf.DUMMYFUNCTION("IF(REGEXMATCH(A554, ""^00-""), 0, IF(AND(EQ(F554, """"), EQ(G554, """")), 1, 0))"),0.0)</f>
        <v>0</v>
      </c>
      <c r="O554" s="6">
        <f>IFERROR(__xludf.DUMMYFUNCTION("IF(REGEXMATCH(A554, ""^00-""), 0, IF(AND(NE(F554, """"), EQ(G554, """")), 1, 0))"),0.0)</f>
        <v>0</v>
      </c>
      <c r="P554" s="6">
        <f>IFERROR(__xludf.DUMMYFUNCTION("IF(REGEXMATCH(A554, ""^00-""), 0, IF(AND(EQ(F554, """"), NE(G554, """")), 1, 0))"),0.0)</f>
        <v>0</v>
      </c>
      <c r="Q554" s="6">
        <f>IFERROR(__xludf.DUMMYFUNCTION("IF(REGEXMATCH(A554, ""^00-""), 0, IF(AND(NE(F554, """"), NE(G554, """")), 1, 0))"),1.0)</f>
        <v>1</v>
      </c>
      <c r="R554" s="6">
        <f t="shared" si="1"/>
        <v>1</v>
      </c>
    </row>
    <row r="555">
      <c r="A555" s="1" t="s">
        <v>82</v>
      </c>
      <c r="B555" s="1" t="s">
        <v>1597</v>
      </c>
      <c r="C555" s="1">
        <v>843.0</v>
      </c>
      <c r="D555" s="1">
        <v>72.0</v>
      </c>
      <c r="E555" s="1">
        <v>915.0</v>
      </c>
      <c r="F555" s="1" t="s">
        <v>1598</v>
      </c>
      <c r="G555" s="1" t="s">
        <v>1599</v>
      </c>
      <c r="H555" s="1" t="s">
        <v>190</v>
      </c>
      <c r="I555" s="1" t="s">
        <v>172</v>
      </c>
      <c r="J555" s="1" t="s">
        <v>1586</v>
      </c>
      <c r="K555" s="1" t="s">
        <v>1468</v>
      </c>
      <c r="L555" s="1"/>
      <c r="M555" s="1" t="s">
        <v>191</v>
      </c>
      <c r="N555" s="6">
        <f>IFERROR(__xludf.DUMMYFUNCTION("IF(REGEXMATCH(A555, ""^00-""), 0, IF(AND(EQ(F555, """"), EQ(G555, """")), 1, 0))"),0.0)</f>
        <v>0</v>
      </c>
      <c r="O555" s="6">
        <f>IFERROR(__xludf.DUMMYFUNCTION("IF(REGEXMATCH(A555, ""^00-""), 0, IF(AND(NE(F555, """"), EQ(G555, """")), 1, 0))"),0.0)</f>
        <v>0</v>
      </c>
      <c r="P555" s="6">
        <f>IFERROR(__xludf.DUMMYFUNCTION("IF(REGEXMATCH(A555, ""^00-""), 0, IF(AND(EQ(F555, """"), NE(G555, """")), 1, 0))"),0.0)</f>
        <v>0</v>
      </c>
      <c r="Q555" s="6">
        <f>IFERROR(__xludf.DUMMYFUNCTION("IF(REGEXMATCH(A555, ""^00-""), 0, IF(AND(NE(F555, """"), NE(G555, """")), 1, 0))"),1.0)</f>
        <v>1</v>
      </c>
      <c r="R555" s="6">
        <f t="shared" si="1"/>
        <v>1</v>
      </c>
    </row>
    <row r="556">
      <c r="A556" s="1" t="s">
        <v>82</v>
      </c>
      <c r="B556" s="1" t="s">
        <v>1600</v>
      </c>
      <c r="C556" s="1">
        <v>718.0</v>
      </c>
      <c r="D556" s="1">
        <v>197.0</v>
      </c>
      <c r="E556" s="1">
        <v>915.0</v>
      </c>
      <c r="F556" s="1" t="s">
        <v>1601</v>
      </c>
      <c r="G556" s="1" t="s">
        <v>1602</v>
      </c>
      <c r="H556" s="1" t="s">
        <v>190</v>
      </c>
      <c r="I556" s="1" t="s">
        <v>172</v>
      </c>
      <c r="J556" s="1" t="s">
        <v>1586</v>
      </c>
      <c r="K556" s="1" t="s">
        <v>1468</v>
      </c>
      <c r="L556" s="1"/>
      <c r="M556" s="1" t="s">
        <v>191</v>
      </c>
      <c r="N556" s="6">
        <f>IFERROR(__xludf.DUMMYFUNCTION("IF(REGEXMATCH(A556, ""^00-""), 0, IF(AND(EQ(F556, """"), EQ(G556, """")), 1, 0))"),0.0)</f>
        <v>0</v>
      </c>
      <c r="O556" s="6">
        <f>IFERROR(__xludf.DUMMYFUNCTION("IF(REGEXMATCH(A556, ""^00-""), 0, IF(AND(NE(F556, """"), EQ(G556, """")), 1, 0))"),0.0)</f>
        <v>0</v>
      </c>
      <c r="P556" s="6">
        <f>IFERROR(__xludf.DUMMYFUNCTION("IF(REGEXMATCH(A556, ""^00-""), 0, IF(AND(EQ(F556, """"), NE(G556, """")), 1, 0))"),0.0)</f>
        <v>0</v>
      </c>
      <c r="Q556" s="6">
        <f>IFERROR(__xludf.DUMMYFUNCTION("IF(REGEXMATCH(A556, ""^00-""), 0, IF(AND(NE(F556, """"), NE(G556, """")), 1, 0))"),1.0)</f>
        <v>1</v>
      </c>
      <c r="R556" s="6">
        <f t="shared" si="1"/>
        <v>1</v>
      </c>
    </row>
    <row r="557">
      <c r="A557" s="1" t="s">
        <v>82</v>
      </c>
      <c r="B557" s="1" t="s">
        <v>1603</v>
      </c>
      <c r="C557" s="1">
        <v>898.0</v>
      </c>
      <c r="D557" s="1">
        <v>17.0</v>
      </c>
      <c r="E557" s="1">
        <v>915.0</v>
      </c>
      <c r="F557" s="1" t="s">
        <v>1604</v>
      </c>
      <c r="G557" s="1" t="s">
        <v>1605</v>
      </c>
      <c r="H557" s="1" t="s">
        <v>190</v>
      </c>
      <c r="I557" s="1" t="s">
        <v>172</v>
      </c>
      <c r="J557" s="1" t="s">
        <v>1586</v>
      </c>
      <c r="K557" s="1" t="s">
        <v>1468</v>
      </c>
      <c r="L557" s="1"/>
      <c r="M557" s="1" t="s">
        <v>191</v>
      </c>
      <c r="N557" s="6">
        <f>IFERROR(__xludf.DUMMYFUNCTION("IF(REGEXMATCH(A557, ""^00-""), 0, IF(AND(EQ(F557, """"), EQ(G557, """")), 1, 0))"),0.0)</f>
        <v>0</v>
      </c>
      <c r="O557" s="6">
        <f>IFERROR(__xludf.DUMMYFUNCTION("IF(REGEXMATCH(A557, ""^00-""), 0, IF(AND(NE(F557, """"), EQ(G557, """")), 1, 0))"),0.0)</f>
        <v>0</v>
      </c>
      <c r="P557" s="6">
        <f>IFERROR(__xludf.DUMMYFUNCTION("IF(REGEXMATCH(A557, ""^00-""), 0, IF(AND(EQ(F557, """"), NE(G557, """")), 1, 0))"),0.0)</f>
        <v>0</v>
      </c>
      <c r="Q557" s="6">
        <f>IFERROR(__xludf.DUMMYFUNCTION("IF(REGEXMATCH(A557, ""^00-""), 0, IF(AND(NE(F557, """"), NE(G557, """")), 1, 0))"),1.0)</f>
        <v>1</v>
      </c>
      <c r="R557" s="6">
        <f t="shared" si="1"/>
        <v>1</v>
      </c>
    </row>
    <row r="558">
      <c r="A558" s="1" t="s">
        <v>82</v>
      </c>
      <c r="B558" s="1" t="s">
        <v>1606</v>
      </c>
      <c r="C558" s="1">
        <v>671.0</v>
      </c>
      <c r="D558" s="1">
        <v>244.0</v>
      </c>
      <c r="E558" s="1">
        <v>915.0</v>
      </c>
      <c r="F558" s="1"/>
      <c r="G558" s="1" t="s">
        <v>1607</v>
      </c>
      <c r="H558" s="1" t="s">
        <v>190</v>
      </c>
      <c r="I558" s="1" t="s">
        <v>172</v>
      </c>
      <c r="J558" s="1" t="s">
        <v>1586</v>
      </c>
      <c r="K558" s="1" t="s">
        <v>1468</v>
      </c>
      <c r="L558" s="1"/>
      <c r="M558" s="1" t="s">
        <v>191</v>
      </c>
      <c r="N558" s="6">
        <f>IFERROR(__xludf.DUMMYFUNCTION("IF(REGEXMATCH(A558, ""^00-""), 0, IF(AND(EQ(F558, """"), EQ(G558, """")), 1, 0))"),0.0)</f>
        <v>0</v>
      </c>
      <c r="O558" s="6">
        <f>IFERROR(__xludf.DUMMYFUNCTION("IF(REGEXMATCH(A558, ""^00-""), 0, IF(AND(NE(F558, """"), EQ(G558, """")), 1, 0))"),0.0)</f>
        <v>0</v>
      </c>
      <c r="P558" s="6">
        <f>IFERROR(__xludf.DUMMYFUNCTION("IF(REGEXMATCH(A558, ""^00-""), 0, IF(AND(EQ(F558, """"), NE(G558, """")), 1, 0))"),1.0)</f>
        <v>1</v>
      </c>
      <c r="Q558" s="6">
        <f>IFERROR(__xludf.DUMMYFUNCTION("IF(REGEXMATCH(A558, ""^00-""), 0, IF(AND(NE(F558, """"), NE(G558, """")), 1, 0))"),0.0)</f>
        <v>0</v>
      </c>
      <c r="R558" s="6">
        <f t="shared" si="1"/>
        <v>1</v>
      </c>
    </row>
    <row r="559">
      <c r="A559" s="1" t="s">
        <v>82</v>
      </c>
      <c r="B559" s="1" t="s">
        <v>1608</v>
      </c>
      <c r="C559" s="1">
        <v>894.0</v>
      </c>
      <c r="D559" s="1">
        <v>21.0</v>
      </c>
      <c r="E559" s="1">
        <v>915.0</v>
      </c>
      <c r="F559" s="1" t="s">
        <v>1609</v>
      </c>
      <c r="G559" s="1" t="s">
        <v>1610</v>
      </c>
      <c r="H559" s="1" t="s">
        <v>190</v>
      </c>
      <c r="I559" s="1" t="s">
        <v>172</v>
      </c>
      <c r="J559" s="1" t="s">
        <v>1586</v>
      </c>
      <c r="K559" s="1" t="s">
        <v>1468</v>
      </c>
      <c r="L559" s="1"/>
      <c r="M559" s="1" t="s">
        <v>191</v>
      </c>
      <c r="N559" s="6">
        <f>IFERROR(__xludf.DUMMYFUNCTION("IF(REGEXMATCH(A559, ""^00-""), 0, IF(AND(EQ(F559, """"), EQ(G559, """")), 1, 0))"),0.0)</f>
        <v>0</v>
      </c>
      <c r="O559" s="6">
        <f>IFERROR(__xludf.DUMMYFUNCTION("IF(REGEXMATCH(A559, ""^00-""), 0, IF(AND(NE(F559, """"), EQ(G559, """")), 1, 0))"),0.0)</f>
        <v>0</v>
      </c>
      <c r="P559" s="6">
        <f>IFERROR(__xludf.DUMMYFUNCTION("IF(REGEXMATCH(A559, ""^00-""), 0, IF(AND(EQ(F559, """"), NE(G559, """")), 1, 0))"),0.0)</f>
        <v>0</v>
      </c>
      <c r="Q559" s="6">
        <f>IFERROR(__xludf.DUMMYFUNCTION("IF(REGEXMATCH(A559, ""^00-""), 0, IF(AND(NE(F559, """"), NE(G559, """")), 1, 0))"),1.0)</f>
        <v>1</v>
      </c>
      <c r="R559" s="6">
        <f t="shared" si="1"/>
        <v>1</v>
      </c>
    </row>
    <row r="560">
      <c r="A560" s="1" t="s">
        <v>82</v>
      </c>
      <c r="B560" s="1" t="s">
        <v>1611</v>
      </c>
      <c r="C560" s="1">
        <v>800.0</v>
      </c>
      <c r="D560" s="1">
        <v>115.0</v>
      </c>
      <c r="E560" s="1">
        <v>915.0</v>
      </c>
      <c r="F560" s="1" t="s">
        <v>1612</v>
      </c>
      <c r="G560" s="1" t="s">
        <v>1613</v>
      </c>
      <c r="H560" s="1" t="s">
        <v>190</v>
      </c>
      <c r="I560" s="1" t="s">
        <v>172</v>
      </c>
      <c r="J560" s="1" t="s">
        <v>1586</v>
      </c>
      <c r="K560" s="1" t="s">
        <v>1468</v>
      </c>
      <c r="L560" s="1"/>
      <c r="M560" s="1" t="s">
        <v>191</v>
      </c>
      <c r="N560" s="6">
        <f>IFERROR(__xludf.DUMMYFUNCTION("IF(REGEXMATCH(A560, ""^00-""), 0, IF(AND(EQ(F560, """"), EQ(G560, """")), 1, 0))"),0.0)</f>
        <v>0</v>
      </c>
      <c r="O560" s="6">
        <f>IFERROR(__xludf.DUMMYFUNCTION("IF(REGEXMATCH(A560, ""^00-""), 0, IF(AND(NE(F560, """"), EQ(G560, """")), 1, 0))"),0.0)</f>
        <v>0</v>
      </c>
      <c r="P560" s="6">
        <f>IFERROR(__xludf.DUMMYFUNCTION("IF(REGEXMATCH(A560, ""^00-""), 0, IF(AND(EQ(F560, """"), NE(G560, """")), 1, 0))"),0.0)</f>
        <v>0</v>
      </c>
      <c r="Q560" s="6">
        <f>IFERROR(__xludf.DUMMYFUNCTION("IF(REGEXMATCH(A560, ""^00-""), 0, IF(AND(NE(F560, """"), NE(G560, """")), 1, 0))"),1.0)</f>
        <v>1</v>
      </c>
      <c r="R560" s="6">
        <f t="shared" si="1"/>
        <v>1</v>
      </c>
    </row>
    <row r="561">
      <c r="A561" s="1" t="s">
        <v>82</v>
      </c>
      <c r="B561" s="1" t="s">
        <v>1614</v>
      </c>
      <c r="C561" s="1">
        <v>710.0</v>
      </c>
      <c r="D561" s="1">
        <v>205.0</v>
      </c>
      <c r="E561" s="1">
        <v>915.0</v>
      </c>
      <c r="F561" s="1" t="s">
        <v>1615</v>
      </c>
      <c r="G561" s="1" t="s">
        <v>1616</v>
      </c>
      <c r="H561" s="1" t="s">
        <v>190</v>
      </c>
      <c r="I561" s="1" t="s">
        <v>172</v>
      </c>
      <c r="J561" s="1" t="s">
        <v>1586</v>
      </c>
      <c r="K561" s="1" t="s">
        <v>1468</v>
      </c>
      <c r="L561" s="1"/>
      <c r="M561" s="1" t="s">
        <v>191</v>
      </c>
      <c r="N561" s="6">
        <f>IFERROR(__xludf.DUMMYFUNCTION("IF(REGEXMATCH(A561, ""^00-""), 0, IF(AND(EQ(F561, """"), EQ(G561, """")), 1, 0))"),0.0)</f>
        <v>0</v>
      </c>
      <c r="O561" s="6">
        <f>IFERROR(__xludf.DUMMYFUNCTION("IF(REGEXMATCH(A561, ""^00-""), 0, IF(AND(NE(F561, """"), EQ(G561, """")), 1, 0))"),0.0)</f>
        <v>0</v>
      </c>
      <c r="P561" s="6">
        <f>IFERROR(__xludf.DUMMYFUNCTION("IF(REGEXMATCH(A561, ""^00-""), 0, IF(AND(EQ(F561, """"), NE(G561, """")), 1, 0))"),0.0)</f>
        <v>0</v>
      </c>
      <c r="Q561" s="6">
        <f>IFERROR(__xludf.DUMMYFUNCTION("IF(REGEXMATCH(A561, ""^00-""), 0, IF(AND(NE(F561, """"), NE(G561, """")), 1, 0))"),1.0)</f>
        <v>1</v>
      </c>
      <c r="R561" s="6">
        <f t="shared" si="1"/>
        <v>1</v>
      </c>
    </row>
    <row r="562">
      <c r="A562" s="1" t="s">
        <v>82</v>
      </c>
      <c r="B562" s="1" t="s">
        <v>1617</v>
      </c>
      <c r="C562" s="1">
        <v>671.0</v>
      </c>
      <c r="D562" s="1">
        <v>244.0</v>
      </c>
      <c r="E562" s="1">
        <v>915.0</v>
      </c>
      <c r="F562" s="1"/>
      <c r="G562" s="1" t="s">
        <v>1618</v>
      </c>
      <c r="H562" s="1" t="s">
        <v>190</v>
      </c>
      <c r="I562" s="1" t="s">
        <v>172</v>
      </c>
      <c r="J562" s="1" t="s">
        <v>1586</v>
      </c>
      <c r="K562" s="1" t="s">
        <v>1468</v>
      </c>
      <c r="L562" s="1"/>
      <c r="M562" s="1" t="s">
        <v>191</v>
      </c>
      <c r="N562" s="6">
        <f>IFERROR(__xludf.DUMMYFUNCTION("IF(REGEXMATCH(A562, ""^00-""), 0, IF(AND(EQ(F562, """"), EQ(G562, """")), 1, 0))"),0.0)</f>
        <v>0</v>
      </c>
      <c r="O562" s="6">
        <f>IFERROR(__xludf.DUMMYFUNCTION("IF(REGEXMATCH(A562, ""^00-""), 0, IF(AND(NE(F562, """"), EQ(G562, """")), 1, 0))"),0.0)</f>
        <v>0</v>
      </c>
      <c r="P562" s="6">
        <f>IFERROR(__xludf.DUMMYFUNCTION("IF(REGEXMATCH(A562, ""^00-""), 0, IF(AND(EQ(F562, """"), NE(G562, """")), 1, 0))"),1.0)</f>
        <v>1</v>
      </c>
      <c r="Q562" s="6">
        <f>IFERROR(__xludf.DUMMYFUNCTION("IF(REGEXMATCH(A562, ""^00-""), 0, IF(AND(NE(F562, """"), NE(G562, """")), 1, 0))"),0.0)</f>
        <v>0</v>
      </c>
      <c r="R562" s="6">
        <f t="shared" si="1"/>
        <v>1</v>
      </c>
    </row>
    <row r="563">
      <c r="A563" s="1" t="s">
        <v>82</v>
      </c>
      <c r="B563" s="1" t="s">
        <v>1619</v>
      </c>
      <c r="C563" s="1">
        <v>838.0</v>
      </c>
      <c r="D563" s="1">
        <v>77.0</v>
      </c>
      <c r="E563" s="1">
        <v>915.0</v>
      </c>
      <c r="F563" s="1" t="s">
        <v>1620</v>
      </c>
      <c r="G563" s="1" t="s">
        <v>1621</v>
      </c>
      <c r="H563" s="1" t="s">
        <v>190</v>
      </c>
      <c r="I563" s="1" t="s">
        <v>172</v>
      </c>
      <c r="J563" s="1" t="s">
        <v>1586</v>
      </c>
      <c r="K563" s="1" t="s">
        <v>1468</v>
      </c>
      <c r="L563" s="1"/>
      <c r="M563" s="1" t="s">
        <v>191</v>
      </c>
      <c r="N563" s="6">
        <f>IFERROR(__xludf.DUMMYFUNCTION("IF(REGEXMATCH(A563, ""^00-""), 0, IF(AND(EQ(F563, """"), EQ(G563, """")), 1, 0))"),0.0)</f>
        <v>0</v>
      </c>
      <c r="O563" s="6">
        <f>IFERROR(__xludf.DUMMYFUNCTION("IF(REGEXMATCH(A563, ""^00-""), 0, IF(AND(NE(F563, """"), EQ(G563, """")), 1, 0))"),0.0)</f>
        <v>0</v>
      </c>
      <c r="P563" s="6">
        <f>IFERROR(__xludf.DUMMYFUNCTION("IF(REGEXMATCH(A563, ""^00-""), 0, IF(AND(EQ(F563, """"), NE(G563, """")), 1, 0))"),0.0)</f>
        <v>0</v>
      </c>
      <c r="Q563" s="6">
        <f>IFERROR(__xludf.DUMMYFUNCTION("IF(REGEXMATCH(A563, ""^00-""), 0, IF(AND(NE(F563, """"), NE(G563, """")), 1, 0))"),1.0)</f>
        <v>1</v>
      </c>
      <c r="R563" s="6">
        <f t="shared" si="1"/>
        <v>1</v>
      </c>
    </row>
    <row r="564">
      <c r="A564" s="1" t="s">
        <v>82</v>
      </c>
      <c r="B564" s="1" t="s">
        <v>1622</v>
      </c>
      <c r="C564" s="1">
        <v>693.0</v>
      </c>
      <c r="D564" s="1">
        <v>222.0</v>
      </c>
      <c r="E564" s="1">
        <v>915.0</v>
      </c>
      <c r="F564" s="1" t="s">
        <v>1623</v>
      </c>
      <c r="G564" s="1" t="s">
        <v>1624</v>
      </c>
      <c r="H564" s="1" t="s">
        <v>190</v>
      </c>
      <c r="I564" s="1" t="s">
        <v>172</v>
      </c>
      <c r="J564" s="1" t="s">
        <v>1586</v>
      </c>
      <c r="K564" s="1" t="s">
        <v>1468</v>
      </c>
      <c r="L564" s="1"/>
      <c r="M564" s="1" t="s">
        <v>191</v>
      </c>
      <c r="N564" s="6">
        <f>IFERROR(__xludf.DUMMYFUNCTION("IF(REGEXMATCH(A564, ""^00-""), 0, IF(AND(EQ(F564, """"), EQ(G564, """")), 1, 0))"),0.0)</f>
        <v>0</v>
      </c>
      <c r="O564" s="6">
        <f>IFERROR(__xludf.DUMMYFUNCTION("IF(REGEXMATCH(A564, ""^00-""), 0, IF(AND(NE(F564, """"), EQ(G564, """")), 1, 0))"),0.0)</f>
        <v>0</v>
      </c>
      <c r="P564" s="6">
        <f>IFERROR(__xludf.DUMMYFUNCTION("IF(REGEXMATCH(A564, ""^00-""), 0, IF(AND(EQ(F564, """"), NE(G564, """")), 1, 0))"),0.0)</f>
        <v>0</v>
      </c>
      <c r="Q564" s="6">
        <f>IFERROR(__xludf.DUMMYFUNCTION("IF(REGEXMATCH(A564, ""^00-""), 0, IF(AND(NE(F564, """"), NE(G564, """")), 1, 0))"),1.0)</f>
        <v>1</v>
      </c>
      <c r="R564" s="6">
        <f t="shared" si="1"/>
        <v>1</v>
      </c>
    </row>
    <row r="565">
      <c r="A565" s="1" t="s">
        <v>82</v>
      </c>
      <c r="B565" s="1" t="s">
        <v>1625</v>
      </c>
      <c r="C565" s="1">
        <v>674.0</v>
      </c>
      <c r="D565" s="1">
        <v>241.0</v>
      </c>
      <c r="E565" s="1">
        <v>915.0</v>
      </c>
      <c r="F565" s="1" t="s">
        <v>1626</v>
      </c>
      <c r="G565" s="1" t="s">
        <v>1627</v>
      </c>
      <c r="H565" s="1" t="s">
        <v>190</v>
      </c>
      <c r="I565" s="1" t="s">
        <v>172</v>
      </c>
      <c r="J565" s="1" t="s">
        <v>1586</v>
      </c>
      <c r="K565" s="1" t="s">
        <v>1468</v>
      </c>
      <c r="L565" s="1"/>
      <c r="M565" s="1" t="s">
        <v>191</v>
      </c>
      <c r="N565" s="6">
        <f>IFERROR(__xludf.DUMMYFUNCTION("IF(REGEXMATCH(A565, ""^00-""), 0, IF(AND(EQ(F565, """"), EQ(G565, """")), 1, 0))"),0.0)</f>
        <v>0</v>
      </c>
      <c r="O565" s="6">
        <f>IFERROR(__xludf.DUMMYFUNCTION("IF(REGEXMATCH(A565, ""^00-""), 0, IF(AND(NE(F565, """"), EQ(G565, """")), 1, 0))"),0.0)</f>
        <v>0</v>
      </c>
      <c r="P565" s="6">
        <f>IFERROR(__xludf.DUMMYFUNCTION("IF(REGEXMATCH(A565, ""^00-""), 0, IF(AND(EQ(F565, """"), NE(G565, """")), 1, 0))"),0.0)</f>
        <v>0</v>
      </c>
      <c r="Q565" s="6">
        <f>IFERROR(__xludf.DUMMYFUNCTION("IF(REGEXMATCH(A565, ""^00-""), 0, IF(AND(NE(F565, """"), NE(G565, """")), 1, 0))"),1.0)</f>
        <v>1</v>
      </c>
      <c r="R565" s="6">
        <f t="shared" si="1"/>
        <v>1</v>
      </c>
    </row>
    <row r="566">
      <c r="A566" s="1" t="s">
        <v>82</v>
      </c>
      <c r="B566" s="1" t="s">
        <v>1628</v>
      </c>
      <c r="C566" s="1">
        <v>671.0</v>
      </c>
      <c r="D566" s="1">
        <v>244.0</v>
      </c>
      <c r="E566" s="1">
        <v>915.0</v>
      </c>
      <c r="F566" s="1"/>
      <c r="G566" s="1" t="s">
        <v>1629</v>
      </c>
      <c r="H566" s="1" t="s">
        <v>190</v>
      </c>
      <c r="I566" s="1" t="s">
        <v>172</v>
      </c>
      <c r="J566" s="1" t="s">
        <v>1586</v>
      </c>
      <c r="K566" s="1" t="s">
        <v>1468</v>
      </c>
      <c r="L566" s="1"/>
      <c r="M566" s="1" t="s">
        <v>191</v>
      </c>
      <c r="N566" s="6">
        <f>IFERROR(__xludf.DUMMYFUNCTION("IF(REGEXMATCH(A566, ""^00-""), 0, IF(AND(EQ(F566, """"), EQ(G566, """")), 1, 0))"),0.0)</f>
        <v>0</v>
      </c>
      <c r="O566" s="6">
        <f>IFERROR(__xludf.DUMMYFUNCTION("IF(REGEXMATCH(A566, ""^00-""), 0, IF(AND(NE(F566, """"), EQ(G566, """")), 1, 0))"),0.0)</f>
        <v>0</v>
      </c>
      <c r="P566" s="6">
        <f>IFERROR(__xludf.DUMMYFUNCTION("IF(REGEXMATCH(A566, ""^00-""), 0, IF(AND(EQ(F566, """"), NE(G566, """")), 1, 0))"),1.0)</f>
        <v>1</v>
      </c>
      <c r="Q566" s="6">
        <f>IFERROR(__xludf.DUMMYFUNCTION("IF(REGEXMATCH(A566, ""^00-""), 0, IF(AND(NE(F566, """"), NE(G566, """")), 1, 0))"),0.0)</f>
        <v>0</v>
      </c>
      <c r="R566" s="6">
        <f t="shared" si="1"/>
        <v>1</v>
      </c>
    </row>
    <row r="567">
      <c r="A567" s="1" t="s">
        <v>82</v>
      </c>
      <c r="B567" s="1" t="s">
        <v>1630</v>
      </c>
      <c r="C567" s="1">
        <v>840.0</v>
      </c>
      <c r="D567" s="1">
        <v>75.0</v>
      </c>
      <c r="E567" s="1">
        <v>915.0</v>
      </c>
      <c r="F567" s="1" t="s">
        <v>1631</v>
      </c>
      <c r="G567" s="1" t="s">
        <v>1632</v>
      </c>
      <c r="H567" s="1" t="s">
        <v>190</v>
      </c>
      <c r="I567" s="1" t="s">
        <v>172</v>
      </c>
      <c r="J567" s="1" t="s">
        <v>1586</v>
      </c>
      <c r="K567" s="1" t="s">
        <v>1468</v>
      </c>
      <c r="L567" s="1"/>
      <c r="M567" s="1" t="s">
        <v>191</v>
      </c>
      <c r="N567" s="6">
        <f>IFERROR(__xludf.DUMMYFUNCTION("IF(REGEXMATCH(A567, ""^00-""), 0, IF(AND(EQ(F567, """"), EQ(G567, """")), 1, 0))"),0.0)</f>
        <v>0</v>
      </c>
      <c r="O567" s="6">
        <f>IFERROR(__xludf.DUMMYFUNCTION("IF(REGEXMATCH(A567, ""^00-""), 0, IF(AND(NE(F567, """"), EQ(G567, """")), 1, 0))"),0.0)</f>
        <v>0</v>
      </c>
      <c r="P567" s="6">
        <f>IFERROR(__xludf.DUMMYFUNCTION("IF(REGEXMATCH(A567, ""^00-""), 0, IF(AND(EQ(F567, """"), NE(G567, """")), 1, 0))"),0.0)</f>
        <v>0</v>
      </c>
      <c r="Q567" s="6">
        <f>IFERROR(__xludf.DUMMYFUNCTION("IF(REGEXMATCH(A567, ""^00-""), 0, IF(AND(NE(F567, """"), NE(G567, """")), 1, 0))"),1.0)</f>
        <v>1</v>
      </c>
      <c r="R567" s="6">
        <f t="shared" si="1"/>
        <v>1</v>
      </c>
    </row>
    <row r="568">
      <c r="A568" s="1" t="s">
        <v>82</v>
      </c>
      <c r="B568" s="1" t="s">
        <v>1633</v>
      </c>
      <c r="C568" s="1">
        <v>688.0</v>
      </c>
      <c r="D568" s="1">
        <v>227.0</v>
      </c>
      <c r="E568" s="1">
        <v>915.0</v>
      </c>
      <c r="F568" s="1" t="s">
        <v>1634</v>
      </c>
      <c r="G568" s="1" t="s">
        <v>1635</v>
      </c>
      <c r="H568" s="1" t="s">
        <v>190</v>
      </c>
      <c r="I568" s="1" t="s">
        <v>172</v>
      </c>
      <c r="J568" s="1" t="s">
        <v>1586</v>
      </c>
      <c r="K568" s="1" t="s">
        <v>1468</v>
      </c>
      <c r="L568" s="1"/>
      <c r="M568" s="1" t="s">
        <v>191</v>
      </c>
      <c r="N568" s="6">
        <f>IFERROR(__xludf.DUMMYFUNCTION("IF(REGEXMATCH(A568, ""^00-""), 0, IF(AND(EQ(F568, """"), EQ(G568, """")), 1, 0))"),0.0)</f>
        <v>0</v>
      </c>
      <c r="O568" s="6">
        <f>IFERROR(__xludf.DUMMYFUNCTION("IF(REGEXMATCH(A568, ""^00-""), 0, IF(AND(NE(F568, """"), EQ(G568, """")), 1, 0))"),0.0)</f>
        <v>0</v>
      </c>
      <c r="P568" s="6">
        <f>IFERROR(__xludf.DUMMYFUNCTION("IF(REGEXMATCH(A568, ""^00-""), 0, IF(AND(EQ(F568, """"), NE(G568, """")), 1, 0))"),0.0)</f>
        <v>0</v>
      </c>
      <c r="Q568" s="6">
        <f>IFERROR(__xludf.DUMMYFUNCTION("IF(REGEXMATCH(A568, ""^00-""), 0, IF(AND(NE(F568, """"), NE(G568, """")), 1, 0))"),1.0)</f>
        <v>1</v>
      </c>
      <c r="R568" s="6">
        <f t="shared" si="1"/>
        <v>1</v>
      </c>
    </row>
    <row r="569">
      <c r="A569" s="1" t="s">
        <v>82</v>
      </c>
      <c r="B569" s="1" t="s">
        <v>1636</v>
      </c>
      <c r="C569" s="1">
        <v>672.0</v>
      </c>
      <c r="D569" s="1">
        <v>243.0</v>
      </c>
      <c r="E569" s="1">
        <v>915.0</v>
      </c>
      <c r="F569" s="1" t="s">
        <v>1637</v>
      </c>
      <c r="G569" s="1" t="s">
        <v>1638</v>
      </c>
      <c r="H569" s="1" t="s">
        <v>190</v>
      </c>
      <c r="I569" s="1" t="s">
        <v>172</v>
      </c>
      <c r="J569" s="1" t="s">
        <v>1586</v>
      </c>
      <c r="K569" s="1" t="s">
        <v>1468</v>
      </c>
      <c r="L569" s="1"/>
      <c r="M569" s="1" t="s">
        <v>191</v>
      </c>
      <c r="N569" s="6">
        <f>IFERROR(__xludf.DUMMYFUNCTION("IF(REGEXMATCH(A569, ""^00-""), 0, IF(AND(EQ(F569, """"), EQ(G569, """")), 1, 0))"),0.0)</f>
        <v>0</v>
      </c>
      <c r="O569" s="6">
        <f>IFERROR(__xludf.DUMMYFUNCTION("IF(REGEXMATCH(A569, ""^00-""), 0, IF(AND(NE(F569, """"), EQ(G569, """")), 1, 0))"),0.0)</f>
        <v>0</v>
      </c>
      <c r="P569" s="6">
        <f>IFERROR(__xludf.DUMMYFUNCTION("IF(REGEXMATCH(A569, ""^00-""), 0, IF(AND(EQ(F569, """"), NE(G569, """")), 1, 0))"),0.0)</f>
        <v>0</v>
      </c>
      <c r="Q569" s="6">
        <f>IFERROR(__xludf.DUMMYFUNCTION("IF(REGEXMATCH(A569, ""^00-""), 0, IF(AND(NE(F569, """"), NE(G569, """")), 1, 0))"),1.0)</f>
        <v>1</v>
      </c>
      <c r="R569" s="6">
        <f t="shared" si="1"/>
        <v>1</v>
      </c>
    </row>
    <row r="570">
      <c r="A570" s="1" t="s">
        <v>82</v>
      </c>
      <c r="B570" s="1" t="s">
        <v>1639</v>
      </c>
      <c r="C570" s="1">
        <v>671.0</v>
      </c>
      <c r="D570" s="1">
        <v>244.0</v>
      </c>
      <c r="E570" s="1">
        <v>915.0</v>
      </c>
      <c r="F570" s="1"/>
      <c r="G570" s="1" t="s">
        <v>1640</v>
      </c>
      <c r="H570" s="1" t="s">
        <v>190</v>
      </c>
      <c r="I570" s="1" t="s">
        <v>172</v>
      </c>
      <c r="J570" s="1" t="s">
        <v>1586</v>
      </c>
      <c r="K570" s="1" t="s">
        <v>1468</v>
      </c>
      <c r="L570" s="1"/>
      <c r="M570" s="1" t="s">
        <v>191</v>
      </c>
      <c r="N570" s="6">
        <f>IFERROR(__xludf.DUMMYFUNCTION("IF(REGEXMATCH(A570, ""^00-""), 0, IF(AND(EQ(F570, """"), EQ(G570, """")), 1, 0))"),0.0)</f>
        <v>0</v>
      </c>
      <c r="O570" s="6">
        <f>IFERROR(__xludf.DUMMYFUNCTION("IF(REGEXMATCH(A570, ""^00-""), 0, IF(AND(NE(F570, """"), EQ(G570, """")), 1, 0))"),0.0)</f>
        <v>0</v>
      </c>
      <c r="P570" s="6">
        <f>IFERROR(__xludf.DUMMYFUNCTION("IF(REGEXMATCH(A570, ""^00-""), 0, IF(AND(EQ(F570, """"), NE(G570, """")), 1, 0))"),1.0)</f>
        <v>1</v>
      </c>
      <c r="Q570" s="6">
        <f>IFERROR(__xludf.DUMMYFUNCTION("IF(REGEXMATCH(A570, ""^00-""), 0, IF(AND(NE(F570, """"), NE(G570, """")), 1, 0))"),0.0)</f>
        <v>0</v>
      </c>
      <c r="R570" s="6">
        <f t="shared" si="1"/>
        <v>1</v>
      </c>
    </row>
    <row r="571">
      <c r="A571" s="1" t="s">
        <v>82</v>
      </c>
      <c r="B571" s="1" t="s">
        <v>1641</v>
      </c>
      <c r="C571" s="1">
        <v>719.0</v>
      </c>
      <c r="D571" s="1">
        <v>196.0</v>
      </c>
      <c r="E571" s="1">
        <v>915.0</v>
      </c>
      <c r="F571" s="1" t="s">
        <v>1642</v>
      </c>
      <c r="G571" s="1" t="s">
        <v>1643</v>
      </c>
      <c r="H571" s="1" t="s">
        <v>190</v>
      </c>
      <c r="I571" s="1" t="s">
        <v>172</v>
      </c>
      <c r="J571" s="1" t="s">
        <v>1586</v>
      </c>
      <c r="K571" s="1" t="s">
        <v>1468</v>
      </c>
      <c r="L571" s="1"/>
      <c r="M571" s="1" t="s">
        <v>191</v>
      </c>
      <c r="N571" s="6">
        <f>IFERROR(__xludf.DUMMYFUNCTION("IF(REGEXMATCH(A571, ""^00-""), 0, IF(AND(EQ(F571, """"), EQ(G571, """")), 1, 0))"),0.0)</f>
        <v>0</v>
      </c>
      <c r="O571" s="6">
        <f>IFERROR(__xludf.DUMMYFUNCTION("IF(REGEXMATCH(A571, ""^00-""), 0, IF(AND(NE(F571, """"), EQ(G571, """")), 1, 0))"),0.0)</f>
        <v>0</v>
      </c>
      <c r="P571" s="6">
        <f>IFERROR(__xludf.DUMMYFUNCTION("IF(REGEXMATCH(A571, ""^00-""), 0, IF(AND(EQ(F571, """"), NE(G571, """")), 1, 0))"),0.0)</f>
        <v>0</v>
      </c>
      <c r="Q571" s="6">
        <f>IFERROR(__xludf.DUMMYFUNCTION("IF(REGEXMATCH(A571, ""^00-""), 0, IF(AND(NE(F571, """"), NE(G571, """")), 1, 0))"),1.0)</f>
        <v>1</v>
      </c>
      <c r="R571" s="6">
        <f t="shared" si="1"/>
        <v>1</v>
      </c>
    </row>
    <row r="572">
      <c r="A572" s="1" t="s">
        <v>82</v>
      </c>
      <c r="B572" s="1" t="s">
        <v>1644</v>
      </c>
      <c r="C572" s="1">
        <v>698.0</v>
      </c>
      <c r="D572" s="1">
        <v>217.0</v>
      </c>
      <c r="E572" s="1">
        <v>915.0</v>
      </c>
      <c r="F572" s="1" t="s">
        <v>1645</v>
      </c>
      <c r="G572" s="1" t="s">
        <v>1646</v>
      </c>
      <c r="H572" s="1" t="s">
        <v>190</v>
      </c>
      <c r="I572" s="1" t="s">
        <v>172</v>
      </c>
      <c r="J572" s="1" t="s">
        <v>1586</v>
      </c>
      <c r="K572" s="1" t="s">
        <v>1468</v>
      </c>
      <c r="L572" s="1"/>
      <c r="M572" s="1" t="s">
        <v>191</v>
      </c>
      <c r="N572" s="6">
        <f>IFERROR(__xludf.DUMMYFUNCTION("IF(REGEXMATCH(A572, ""^00-""), 0, IF(AND(EQ(F572, """"), EQ(G572, """")), 1, 0))"),0.0)</f>
        <v>0</v>
      </c>
      <c r="O572" s="6">
        <f>IFERROR(__xludf.DUMMYFUNCTION("IF(REGEXMATCH(A572, ""^00-""), 0, IF(AND(NE(F572, """"), EQ(G572, """")), 1, 0))"),0.0)</f>
        <v>0</v>
      </c>
      <c r="P572" s="6">
        <f>IFERROR(__xludf.DUMMYFUNCTION("IF(REGEXMATCH(A572, ""^00-""), 0, IF(AND(EQ(F572, """"), NE(G572, """")), 1, 0))"),0.0)</f>
        <v>0</v>
      </c>
      <c r="Q572" s="6">
        <f>IFERROR(__xludf.DUMMYFUNCTION("IF(REGEXMATCH(A572, ""^00-""), 0, IF(AND(NE(F572, """"), NE(G572, """")), 1, 0))"),1.0)</f>
        <v>1</v>
      </c>
      <c r="R572" s="6">
        <f t="shared" si="1"/>
        <v>1</v>
      </c>
    </row>
    <row r="573">
      <c r="A573" s="1" t="s">
        <v>82</v>
      </c>
      <c r="B573" s="1" t="s">
        <v>1647</v>
      </c>
      <c r="C573" s="1">
        <v>698.0</v>
      </c>
      <c r="D573" s="1">
        <v>217.0</v>
      </c>
      <c r="E573" s="1">
        <v>915.0</v>
      </c>
      <c r="F573" s="1" t="s">
        <v>1648</v>
      </c>
      <c r="G573" s="1" t="s">
        <v>1649</v>
      </c>
      <c r="H573" s="1" t="s">
        <v>190</v>
      </c>
      <c r="I573" s="1" t="s">
        <v>172</v>
      </c>
      <c r="J573" s="1" t="s">
        <v>1586</v>
      </c>
      <c r="K573" s="1" t="s">
        <v>1468</v>
      </c>
      <c r="L573" s="1"/>
      <c r="M573" s="1" t="s">
        <v>191</v>
      </c>
      <c r="N573" s="6">
        <f>IFERROR(__xludf.DUMMYFUNCTION("IF(REGEXMATCH(A573, ""^00-""), 0, IF(AND(EQ(F573, """"), EQ(G573, """")), 1, 0))"),0.0)</f>
        <v>0</v>
      </c>
      <c r="O573" s="6">
        <f>IFERROR(__xludf.DUMMYFUNCTION("IF(REGEXMATCH(A573, ""^00-""), 0, IF(AND(NE(F573, """"), EQ(G573, """")), 1, 0))"),0.0)</f>
        <v>0</v>
      </c>
      <c r="P573" s="6">
        <f>IFERROR(__xludf.DUMMYFUNCTION("IF(REGEXMATCH(A573, ""^00-""), 0, IF(AND(EQ(F573, """"), NE(G573, """")), 1, 0))"),0.0)</f>
        <v>0</v>
      </c>
      <c r="Q573" s="6">
        <f>IFERROR(__xludf.DUMMYFUNCTION("IF(REGEXMATCH(A573, ""^00-""), 0, IF(AND(NE(F573, """"), NE(G573, """")), 1, 0))"),1.0)</f>
        <v>1</v>
      </c>
      <c r="R573" s="6">
        <f t="shared" si="1"/>
        <v>1</v>
      </c>
    </row>
    <row r="574">
      <c r="A574" s="1" t="s">
        <v>82</v>
      </c>
      <c r="B574" s="1" t="s">
        <v>1650</v>
      </c>
      <c r="C574" s="1">
        <v>671.0</v>
      </c>
      <c r="D574" s="1">
        <v>244.0</v>
      </c>
      <c r="E574" s="1">
        <v>915.0</v>
      </c>
      <c r="F574" s="1"/>
      <c r="G574" s="1" t="s">
        <v>1651</v>
      </c>
      <c r="H574" s="1" t="s">
        <v>190</v>
      </c>
      <c r="I574" s="1" t="s">
        <v>172</v>
      </c>
      <c r="J574" s="1" t="s">
        <v>1586</v>
      </c>
      <c r="K574" s="1" t="s">
        <v>1468</v>
      </c>
      <c r="L574" s="1"/>
      <c r="M574" s="1" t="s">
        <v>191</v>
      </c>
      <c r="N574" s="6">
        <f>IFERROR(__xludf.DUMMYFUNCTION("IF(REGEXMATCH(A574, ""^00-""), 0, IF(AND(EQ(F574, """"), EQ(G574, """")), 1, 0))"),0.0)</f>
        <v>0</v>
      </c>
      <c r="O574" s="6">
        <f>IFERROR(__xludf.DUMMYFUNCTION("IF(REGEXMATCH(A574, ""^00-""), 0, IF(AND(NE(F574, """"), EQ(G574, """")), 1, 0))"),0.0)</f>
        <v>0</v>
      </c>
      <c r="P574" s="6">
        <f>IFERROR(__xludf.DUMMYFUNCTION("IF(REGEXMATCH(A574, ""^00-""), 0, IF(AND(EQ(F574, """"), NE(G574, """")), 1, 0))"),1.0)</f>
        <v>1</v>
      </c>
      <c r="Q574" s="6">
        <f>IFERROR(__xludf.DUMMYFUNCTION("IF(REGEXMATCH(A574, ""^00-""), 0, IF(AND(NE(F574, """"), NE(G574, """")), 1, 0))"),0.0)</f>
        <v>0</v>
      </c>
      <c r="R574" s="6">
        <f t="shared" si="1"/>
        <v>1</v>
      </c>
    </row>
    <row r="575">
      <c r="A575" s="1" t="s">
        <v>82</v>
      </c>
      <c r="B575" s="1" t="s">
        <v>1652</v>
      </c>
      <c r="C575" s="1">
        <v>699.0</v>
      </c>
      <c r="D575" s="1">
        <v>216.0</v>
      </c>
      <c r="E575" s="1">
        <v>915.0</v>
      </c>
      <c r="F575" s="1" t="s">
        <v>1653</v>
      </c>
      <c r="G575" s="1" t="s">
        <v>1654</v>
      </c>
      <c r="H575" s="1" t="s">
        <v>190</v>
      </c>
      <c r="I575" s="1" t="s">
        <v>172</v>
      </c>
      <c r="J575" s="1" t="s">
        <v>1586</v>
      </c>
      <c r="K575" s="1" t="s">
        <v>1468</v>
      </c>
      <c r="L575" s="1"/>
      <c r="M575" s="1" t="s">
        <v>191</v>
      </c>
      <c r="N575" s="6">
        <f>IFERROR(__xludf.DUMMYFUNCTION("IF(REGEXMATCH(A575, ""^00-""), 0, IF(AND(EQ(F575, """"), EQ(G575, """")), 1, 0))"),0.0)</f>
        <v>0</v>
      </c>
      <c r="O575" s="6">
        <f>IFERROR(__xludf.DUMMYFUNCTION("IF(REGEXMATCH(A575, ""^00-""), 0, IF(AND(NE(F575, """"), EQ(G575, """")), 1, 0))"),0.0)</f>
        <v>0</v>
      </c>
      <c r="P575" s="6">
        <f>IFERROR(__xludf.DUMMYFUNCTION("IF(REGEXMATCH(A575, ""^00-""), 0, IF(AND(EQ(F575, """"), NE(G575, """")), 1, 0))"),0.0)</f>
        <v>0</v>
      </c>
      <c r="Q575" s="6">
        <f>IFERROR(__xludf.DUMMYFUNCTION("IF(REGEXMATCH(A575, ""^00-""), 0, IF(AND(NE(F575, """"), NE(G575, """")), 1, 0))"),1.0)</f>
        <v>1</v>
      </c>
      <c r="R575" s="6">
        <f t="shared" si="1"/>
        <v>1</v>
      </c>
    </row>
    <row r="576">
      <c r="A576" s="1" t="s">
        <v>82</v>
      </c>
      <c r="B576" s="1" t="s">
        <v>1655</v>
      </c>
      <c r="C576" s="1">
        <v>207.0</v>
      </c>
      <c r="D576" s="1">
        <v>708.0</v>
      </c>
      <c r="E576" s="1">
        <v>915.0</v>
      </c>
      <c r="F576" s="1" t="s">
        <v>1656</v>
      </c>
      <c r="G576" s="1" t="s">
        <v>1657</v>
      </c>
      <c r="H576" s="1" t="s">
        <v>190</v>
      </c>
      <c r="I576" s="1" t="s">
        <v>172</v>
      </c>
      <c r="J576" s="1" t="s">
        <v>1586</v>
      </c>
      <c r="K576" s="1" t="s">
        <v>1468</v>
      </c>
      <c r="L576" s="1"/>
      <c r="M576" s="1" t="s">
        <v>191</v>
      </c>
      <c r="N576" s="6">
        <f>IFERROR(__xludf.DUMMYFUNCTION("IF(REGEXMATCH(A576, ""^00-""), 0, IF(AND(EQ(F576, """"), EQ(G576, """")), 1, 0))"),0.0)</f>
        <v>0</v>
      </c>
      <c r="O576" s="6">
        <f>IFERROR(__xludf.DUMMYFUNCTION("IF(REGEXMATCH(A576, ""^00-""), 0, IF(AND(NE(F576, """"), EQ(G576, """")), 1, 0))"),0.0)</f>
        <v>0</v>
      </c>
      <c r="P576" s="6">
        <f>IFERROR(__xludf.DUMMYFUNCTION("IF(REGEXMATCH(A576, ""^00-""), 0, IF(AND(EQ(F576, """"), NE(G576, """")), 1, 0))"),0.0)</f>
        <v>0</v>
      </c>
      <c r="Q576" s="6">
        <f>IFERROR(__xludf.DUMMYFUNCTION("IF(REGEXMATCH(A576, ""^00-""), 0, IF(AND(NE(F576, """"), NE(G576, """")), 1, 0))"),1.0)</f>
        <v>1</v>
      </c>
      <c r="R576" s="6">
        <f t="shared" si="1"/>
        <v>1</v>
      </c>
    </row>
    <row r="577">
      <c r="A577" s="1" t="s">
        <v>82</v>
      </c>
      <c r="B577" s="1" t="s">
        <v>1658</v>
      </c>
      <c r="C577" s="1">
        <v>86.0</v>
      </c>
      <c r="D577" s="1">
        <v>829.0</v>
      </c>
      <c r="E577" s="1">
        <v>915.0</v>
      </c>
      <c r="F577" s="1"/>
      <c r="G577" s="1" t="s">
        <v>1659</v>
      </c>
      <c r="H577" s="1" t="s">
        <v>190</v>
      </c>
      <c r="I577" s="1" t="s">
        <v>172</v>
      </c>
      <c r="J577" s="1" t="s">
        <v>1586</v>
      </c>
      <c r="K577" s="1" t="s">
        <v>1468</v>
      </c>
      <c r="L577" s="1"/>
      <c r="M577" s="1" t="s">
        <v>191</v>
      </c>
      <c r="N577" s="6">
        <f>IFERROR(__xludf.DUMMYFUNCTION("IF(REGEXMATCH(A577, ""^00-""), 0, IF(AND(EQ(F577, """"), EQ(G577, """")), 1, 0))"),0.0)</f>
        <v>0</v>
      </c>
      <c r="O577" s="6">
        <f>IFERROR(__xludf.DUMMYFUNCTION("IF(REGEXMATCH(A577, ""^00-""), 0, IF(AND(NE(F577, """"), EQ(G577, """")), 1, 0))"),0.0)</f>
        <v>0</v>
      </c>
      <c r="P577" s="6">
        <f>IFERROR(__xludf.DUMMYFUNCTION("IF(REGEXMATCH(A577, ""^00-""), 0, IF(AND(EQ(F577, """"), NE(G577, """")), 1, 0))"),1.0)</f>
        <v>1</v>
      </c>
      <c r="Q577" s="6">
        <f>IFERROR(__xludf.DUMMYFUNCTION("IF(REGEXMATCH(A577, ""^00-""), 0, IF(AND(NE(F577, """"), NE(G577, """")), 1, 0))"),0.0)</f>
        <v>0</v>
      </c>
      <c r="R577" s="6">
        <f t="shared" si="1"/>
        <v>1</v>
      </c>
    </row>
    <row r="578">
      <c r="A578" s="1" t="s">
        <v>82</v>
      </c>
      <c r="B578" s="1" t="s">
        <v>1660</v>
      </c>
      <c r="C578" s="1">
        <v>231.0</v>
      </c>
      <c r="D578" s="1">
        <v>684.0</v>
      </c>
      <c r="E578" s="1">
        <v>915.0</v>
      </c>
      <c r="F578" s="1" t="s">
        <v>1661</v>
      </c>
      <c r="G578" s="1" t="s">
        <v>1662</v>
      </c>
      <c r="H578" s="1" t="s">
        <v>190</v>
      </c>
      <c r="I578" s="1" t="s">
        <v>172</v>
      </c>
      <c r="J578" s="1" t="s">
        <v>1586</v>
      </c>
      <c r="K578" s="1" t="s">
        <v>1468</v>
      </c>
      <c r="L578" s="1"/>
      <c r="M578" s="1" t="s">
        <v>191</v>
      </c>
      <c r="N578" s="6">
        <f>IFERROR(__xludf.DUMMYFUNCTION("IF(REGEXMATCH(A578, ""^00-""), 0, IF(AND(EQ(F578, """"), EQ(G578, """")), 1, 0))"),0.0)</f>
        <v>0</v>
      </c>
      <c r="O578" s="6">
        <f>IFERROR(__xludf.DUMMYFUNCTION("IF(REGEXMATCH(A578, ""^00-""), 0, IF(AND(NE(F578, """"), EQ(G578, """")), 1, 0))"),0.0)</f>
        <v>0</v>
      </c>
      <c r="P578" s="6">
        <f>IFERROR(__xludf.DUMMYFUNCTION("IF(REGEXMATCH(A578, ""^00-""), 0, IF(AND(EQ(F578, """"), NE(G578, """")), 1, 0))"),0.0)</f>
        <v>0</v>
      </c>
      <c r="Q578" s="6">
        <f>IFERROR(__xludf.DUMMYFUNCTION("IF(REGEXMATCH(A578, ""^00-""), 0, IF(AND(NE(F578, """"), NE(G578, """")), 1, 0))"),1.0)</f>
        <v>1</v>
      </c>
      <c r="R578" s="6">
        <f t="shared" si="1"/>
        <v>1</v>
      </c>
    </row>
    <row r="579">
      <c r="A579" s="1" t="s">
        <v>82</v>
      </c>
      <c r="B579" s="1" t="s">
        <v>1663</v>
      </c>
      <c r="C579" s="1">
        <v>243.0</v>
      </c>
      <c r="D579" s="1">
        <v>672.0</v>
      </c>
      <c r="E579" s="1">
        <v>915.0</v>
      </c>
      <c r="F579" s="1" t="s">
        <v>1664</v>
      </c>
      <c r="G579" s="1" t="s">
        <v>1665</v>
      </c>
      <c r="H579" s="1" t="s">
        <v>171</v>
      </c>
      <c r="I579" s="1" t="s">
        <v>172</v>
      </c>
      <c r="J579" s="1" t="s">
        <v>1586</v>
      </c>
      <c r="K579" s="1" t="s">
        <v>1468</v>
      </c>
      <c r="L579" s="1"/>
      <c r="M579" s="1" t="s">
        <v>171</v>
      </c>
      <c r="N579" s="6">
        <f>IFERROR(__xludf.DUMMYFUNCTION("IF(REGEXMATCH(A579, ""^00-""), 0, IF(AND(EQ(F579, """"), EQ(G579, """")), 1, 0))"),0.0)</f>
        <v>0</v>
      </c>
      <c r="O579" s="6">
        <f>IFERROR(__xludf.DUMMYFUNCTION("IF(REGEXMATCH(A579, ""^00-""), 0, IF(AND(NE(F579, """"), EQ(G579, """")), 1, 0))"),0.0)</f>
        <v>0</v>
      </c>
      <c r="P579" s="6">
        <f>IFERROR(__xludf.DUMMYFUNCTION("IF(REGEXMATCH(A579, ""^00-""), 0, IF(AND(EQ(F579, """"), NE(G579, """")), 1, 0))"),0.0)</f>
        <v>0</v>
      </c>
      <c r="Q579" s="6">
        <f>IFERROR(__xludf.DUMMYFUNCTION("IF(REGEXMATCH(A579, ""^00-""), 0, IF(AND(NE(F579, """"), NE(G579, """")), 1, 0))"),1.0)</f>
        <v>1</v>
      </c>
      <c r="R579" s="6">
        <f t="shared" si="1"/>
        <v>1</v>
      </c>
    </row>
    <row r="580">
      <c r="A580" s="1" t="s">
        <v>82</v>
      </c>
      <c r="B580" s="1" t="s">
        <v>1666</v>
      </c>
      <c r="C580" s="1">
        <v>583.0</v>
      </c>
      <c r="D580" s="1">
        <v>332.0</v>
      </c>
      <c r="E580" s="1">
        <v>915.0</v>
      </c>
      <c r="F580" s="1" t="s">
        <v>1667</v>
      </c>
      <c r="G580" s="1" t="s">
        <v>1668</v>
      </c>
      <c r="H580" s="1" t="s">
        <v>269</v>
      </c>
      <c r="I580" s="1" t="s">
        <v>172</v>
      </c>
      <c r="J580" s="1" t="s">
        <v>1586</v>
      </c>
      <c r="K580" s="1" t="s">
        <v>1468</v>
      </c>
      <c r="L580" s="1"/>
      <c r="M580" s="1" t="s">
        <v>1666</v>
      </c>
      <c r="N580" s="6">
        <f>IFERROR(__xludf.DUMMYFUNCTION("IF(REGEXMATCH(A580, ""^00-""), 0, IF(AND(EQ(F580, """"), EQ(G580, """")), 1, 0))"),0.0)</f>
        <v>0</v>
      </c>
      <c r="O580" s="6">
        <f>IFERROR(__xludf.DUMMYFUNCTION("IF(REGEXMATCH(A580, ""^00-""), 0, IF(AND(NE(F580, """"), EQ(G580, """")), 1, 0))"),0.0)</f>
        <v>0</v>
      </c>
      <c r="P580" s="6">
        <f>IFERROR(__xludf.DUMMYFUNCTION("IF(REGEXMATCH(A580, ""^00-""), 0, IF(AND(EQ(F580, """"), NE(G580, """")), 1, 0))"),0.0)</f>
        <v>0</v>
      </c>
      <c r="Q580" s="6">
        <f>IFERROR(__xludf.DUMMYFUNCTION("IF(REGEXMATCH(A580, ""^00-""), 0, IF(AND(NE(F580, """"), NE(G580, """")), 1, 0))"),1.0)</f>
        <v>1</v>
      </c>
      <c r="R580" s="6">
        <f t="shared" si="1"/>
        <v>1</v>
      </c>
    </row>
    <row r="581">
      <c r="A581" s="1" t="s">
        <v>82</v>
      </c>
      <c r="B581" s="1" t="s">
        <v>1669</v>
      </c>
      <c r="C581" s="1">
        <v>13.0</v>
      </c>
      <c r="D581" s="1">
        <v>902.0</v>
      </c>
      <c r="E581" s="1">
        <v>915.0</v>
      </c>
      <c r="F581" s="1" t="s">
        <v>1670</v>
      </c>
      <c r="G581" s="1"/>
      <c r="H581" s="1" t="s">
        <v>171</v>
      </c>
      <c r="I581" s="1" t="s">
        <v>172</v>
      </c>
      <c r="J581" s="1" t="s">
        <v>1586</v>
      </c>
      <c r="K581" s="1" t="s">
        <v>1468</v>
      </c>
      <c r="L581" s="1"/>
      <c r="M581" s="1" t="s">
        <v>171</v>
      </c>
      <c r="N581" s="6">
        <f>IFERROR(__xludf.DUMMYFUNCTION("IF(REGEXMATCH(A581, ""^00-""), 0, IF(AND(EQ(F581, """"), EQ(G581, """")), 1, 0))"),0.0)</f>
        <v>0</v>
      </c>
      <c r="O581" s="6">
        <f>IFERROR(__xludf.DUMMYFUNCTION("IF(REGEXMATCH(A581, ""^00-""), 0, IF(AND(NE(F581, """"), EQ(G581, """")), 1, 0))"),1.0)</f>
        <v>1</v>
      </c>
      <c r="P581" s="6">
        <f>IFERROR(__xludf.DUMMYFUNCTION("IF(REGEXMATCH(A581, ""^00-""), 0, IF(AND(EQ(F581, """"), NE(G581, """")), 1, 0))"),0.0)</f>
        <v>0</v>
      </c>
      <c r="Q581" s="6">
        <f>IFERROR(__xludf.DUMMYFUNCTION("IF(REGEXMATCH(A581, ""^00-""), 0, IF(AND(NE(F581, """"), NE(G581, """")), 1, 0))"),0.0)</f>
        <v>0</v>
      </c>
      <c r="R581" s="6">
        <f t="shared" si="1"/>
        <v>1</v>
      </c>
    </row>
    <row r="582">
      <c r="A582" s="1" t="s">
        <v>82</v>
      </c>
      <c r="B582" s="1" t="s">
        <v>1671</v>
      </c>
      <c r="C582" s="1">
        <v>714.0</v>
      </c>
      <c r="D582" s="1">
        <v>201.0</v>
      </c>
      <c r="E582" s="1">
        <v>915.0</v>
      </c>
      <c r="F582" s="1" t="s">
        <v>1672</v>
      </c>
      <c r="G582" s="1" t="s">
        <v>1673</v>
      </c>
      <c r="H582" s="1" t="s">
        <v>190</v>
      </c>
      <c r="I582" s="1" t="s">
        <v>172</v>
      </c>
      <c r="J582" s="1" t="s">
        <v>1586</v>
      </c>
      <c r="K582" s="1" t="s">
        <v>1468</v>
      </c>
      <c r="L582" s="1"/>
      <c r="M582" s="1" t="s">
        <v>191</v>
      </c>
      <c r="N582" s="6">
        <f>IFERROR(__xludf.DUMMYFUNCTION("IF(REGEXMATCH(A582, ""^00-""), 0, IF(AND(EQ(F582, """"), EQ(G582, """")), 1, 0))"),0.0)</f>
        <v>0</v>
      </c>
      <c r="O582" s="6">
        <f>IFERROR(__xludf.DUMMYFUNCTION("IF(REGEXMATCH(A582, ""^00-""), 0, IF(AND(NE(F582, """"), EQ(G582, """")), 1, 0))"),0.0)</f>
        <v>0</v>
      </c>
      <c r="P582" s="6">
        <f>IFERROR(__xludf.DUMMYFUNCTION("IF(REGEXMATCH(A582, ""^00-""), 0, IF(AND(EQ(F582, """"), NE(G582, """")), 1, 0))"),0.0)</f>
        <v>0</v>
      </c>
      <c r="Q582" s="6">
        <f>IFERROR(__xludf.DUMMYFUNCTION("IF(REGEXMATCH(A582, ""^00-""), 0, IF(AND(NE(F582, """"), NE(G582, """")), 1, 0))"),1.0)</f>
        <v>1</v>
      </c>
      <c r="R582" s="6">
        <f t="shared" si="1"/>
        <v>1</v>
      </c>
    </row>
    <row r="583">
      <c r="A583" s="1" t="s">
        <v>82</v>
      </c>
      <c r="B583" s="1" t="s">
        <v>1674</v>
      </c>
      <c r="C583" s="1">
        <v>748.0</v>
      </c>
      <c r="D583" s="1">
        <v>167.0</v>
      </c>
      <c r="E583" s="1">
        <v>915.0</v>
      </c>
      <c r="F583" s="1" t="s">
        <v>1675</v>
      </c>
      <c r="G583" s="1" t="s">
        <v>1676</v>
      </c>
      <c r="H583" s="1" t="s">
        <v>190</v>
      </c>
      <c r="I583" s="1" t="s">
        <v>172</v>
      </c>
      <c r="J583" s="1" t="s">
        <v>1586</v>
      </c>
      <c r="K583" s="1" t="s">
        <v>1468</v>
      </c>
      <c r="L583" s="1"/>
      <c r="M583" s="1" t="s">
        <v>191</v>
      </c>
      <c r="N583" s="6">
        <f>IFERROR(__xludf.DUMMYFUNCTION("IF(REGEXMATCH(A583, ""^00-""), 0, IF(AND(EQ(F583, """"), EQ(G583, """")), 1, 0))"),0.0)</f>
        <v>0</v>
      </c>
      <c r="O583" s="6">
        <f>IFERROR(__xludf.DUMMYFUNCTION("IF(REGEXMATCH(A583, ""^00-""), 0, IF(AND(NE(F583, """"), EQ(G583, """")), 1, 0))"),0.0)</f>
        <v>0</v>
      </c>
      <c r="P583" s="6">
        <f>IFERROR(__xludf.DUMMYFUNCTION("IF(REGEXMATCH(A583, ""^00-""), 0, IF(AND(EQ(F583, """"), NE(G583, """")), 1, 0))"),0.0)</f>
        <v>0</v>
      </c>
      <c r="Q583" s="6">
        <f>IFERROR(__xludf.DUMMYFUNCTION("IF(REGEXMATCH(A583, ""^00-""), 0, IF(AND(NE(F583, """"), NE(G583, """")), 1, 0))"),1.0)</f>
        <v>1</v>
      </c>
      <c r="R583" s="6">
        <f t="shared" si="1"/>
        <v>1</v>
      </c>
    </row>
    <row r="584">
      <c r="A584" s="1" t="s">
        <v>82</v>
      </c>
      <c r="B584" s="1" t="s">
        <v>1677</v>
      </c>
      <c r="C584" s="1">
        <v>32.0</v>
      </c>
      <c r="D584" s="1">
        <v>883.0</v>
      </c>
      <c r="E584" s="1">
        <v>915.0</v>
      </c>
      <c r="F584" s="1"/>
      <c r="G584" s="1" t="s">
        <v>1678</v>
      </c>
      <c r="H584" s="1" t="s">
        <v>235</v>
      </c>
      <c r="I584" s="1" t="s">
        <v>172</v>
      </c>
      <c r="J584" s="1" t="s">
        <v>1586</v>
      </c>
      <c r="K584" s="1" t="s">
        <v>1468</v>
      </c>
      <c r="L584" s="1"/>
      <c r="M584" s="1" t="s">
        <v>1677</v>
      </c>
      <c r="N584" s="6">
        <f>IFERROR(__xludf.DUMMYFUNCTION("IF(REGEXMATCH(A584, ""^00-""), 0, IF(AND(EQ(F584, """"), EQ(G584, """")), 1, 0))"),0.0)</f>
        <v>0</v>
      </c>
      <c r="O584" s="6">
        <f>IFERROR(__xludf.DUMMYFUNCTION("IF(REGEXMATCH(A584, ""^00-""), 0, IF(AND(NE(F584, """"), EQ(G584, """")), 1, 0))"),0.0)</f>
        <v>0</v>
      </c>
      <c r="P584" s="6">
        <f>IFERROR(__xludf.DUMMYFUNCTION("IF(REGEXMATCH(A584, ""^00-""), 0, IF(AND(EQ(F584, """"), NE(G584, """")), 1, 0))"),1.0)</f>
        <v>1</v>
      </c>
      <c r="Q584" s="6">
        <f>IFERROR(__xludf.DUMMYFUNCTION("IF(REGEXMATCH(A584, ""^00-""), 0, IF(AND(NE(F584, """"), NE(G584, """")), 1, 0))"),0.0)</f>
        <v>0</v>
      </c>
      <c r="R584" s="6">
        <f t="shared" si="1"/>
        <v>1</v>
      </c>
    </row>
    <row r="585">
      <c r="A585" s="1" t="s">
        <v>82</v>
      </c>
      <c r="B585" s="1" t="s">
        <v>1679</v>
      </c>
      <c r="C585" s="1">
        <v>9.0</v>
      </c>
      <c r="D585" s="1">
        <v>906.0</v>
      </c>
      <c r="E585" s="1">
        <v>915.0</v>
      </c>
      <c r="F585" s="1" t="s">
        <v>1680</v>
      </c>
      <c r="G585" s="1" t="s">
        <v>1681</v>
      </c>
      <c r="H585" s="1" t="s">
        <v>235</v>
      </c>
      <c r="I585" s="1" t="s">
        <v>172</v>
      </c>
      <c r="J585" s="1" t="s">
        <v>1586</v>
      </c>
      <c r="K585" s="1" t="s">
        <v>1468</v>
      </c>
      <c r="L585" s="1"/>
      <c r="M585" s="1" t="s">
        <v>1679</v>
      </c>
      <c r="N585" s="6">
        <f>IFERROR(__xludf.DUMMYFUNCTION("IF(REGEXMATCH(A585, ""^00-""), 0, IF(AND(EQ(F585, """"), EQ(G585, """")), 1, 0))"),0.0)</f>
        <v>0</v>
      </c>
      <c r="O585" s="6">
        <f>IFERROR(__xludf.DUMMYFUNCTION("IF(REGEXMATCH(A585, ""^00-""), 0, IF(AND(NE(F585, """"), EQ(G585, """")), 1, 0))"),0.0)</f>
        <v>0</v>
      </c>
      <c r="P585" s="6">
        <f>IFERROR(__xludf.DUMMYFUNCTION("IF(REGEXMATCH(A585, ""^00-""), 0, IF(AND(EQ(F585, """"), NE(G585, """")), 1, 0))"),0.0)</f>
        <v>0</v>
      </c>
      <c r="Q585" s="6">
        <f>IFERROR(__xludf.DUMMYFUNCTION("IF(REGEXMATCH(A585, ""^00-""), 0, IF(AND(NE(F585, """"), NE(G585, """")), 1, 0))"),1.0)</f>
        <v>1</v>
      </c>
      <c r="R585" s="6">
        <f t="shared" si="1"/>
        <v>1</v>
      </c>
    </row>
    <row r="586">
      <c r="A586" s="1" t="s">
        <v>82</v>
      </c>
      <c r="B586" s="1" t="s">
        <v>1682</v>
      </c>
      <c r="C586" s="1">
        <v>746.0</v>
      </c>
      <c r="D586" s="1">
        <v>169.0</v>
      </c>
      <c r="E586" s="1">
        <v>915.0</v>
      </c>
      <c r="F586" s="1" t="s">
        <v>1683</v>
      </c>
      <c r="G586" s="1" t="s">
        <v>1684</v>
      </c>
      <c r="H586" s="1" t="s">
        <v>269</v>
      </c>
      <c r="I586" s="1" t="s">
        <v>172</v>
      </c>
      <c r="J586" s="1" t="s">
        <v>1586</v>
      </c>
      <c r="K586" s="1" t="s">
        <v>1468</v>
      </c>
      <c r="L586" s="1"/>
      <c r="M586" s="1" t="s">
        <v>1685</v>
      </c>
      <c r="N586" s="6">
        <f>IFERROR(__xludf.DUMMYFUNCTION("IF(REGEXMATCH(A586, ""^00-""), 0, IF(AND(EQ(F586, """"), EQ(G586, """")), 1, 0))"),0.0)</f>
        <v>0</v>
      </c>
      <c r="O586" s="6">
        <f>IFERROR(__xludf.DUMMYFUNCTION("IF(REGEXMATCH(A586, ""^00-""), 0, IF(AND(NE(F586, """"), EQ(G586, """")), 1, 0))"),0.0)</f>
        <v>0</v>
      </c>
      <c r="P586" s="6">
        <f>IFERROR(__xludf.DUMMYFUNCTION("IF(REGEXMATCH(A586, ""^00-""), 0, IF(AND(EQ(F586, """"), NE(G586, """")), 1, 0))"),0.0)</f>
        <v>0</v>
      </c>
      <c r="Q586" s="6">
        <f>IFERROR(__xludf.DUMMYFUNCTION("IF(REGEXMATCH(A586, ""^00-""), 0, IF(AND(NE(F586, """"), NE(G586, """")), 1, 0))"),1.0)</f>
        <v>1</v>
      </c>
      <c r="R586" s="6">
        <f t="shared" si="1"/>
        <v>1</v>
      </c>
    </row>
    <row r="587">
      <c r="A587" s="1" t="s">
        <v>82</v>
      </c>
      <c r="B587" s="1" t="s">
        <v>1686</v>
      </c>
      <c r="C587" s="1">
        <v>755.0</v>
      </c>
      <c r="D587" s="1">
        <v>160.0</v>
      </c>
      <c r="E587" s="1">
        <v>915.0</v>
      </c>
      <c r="F587" s="1" t="s">
        <v>1687</v>
      </c>
      <c r="G587" s="1" t="s">
        <v>1688</v>
      </c>
      <c r="H587" s="1" t="s">
        <v>269</v>
      </c>
      <c r="I587" s="1" t="s">
        <v>172</v>
      </c>
      <c r="J587" s="1" t="s">
        <v>1586</v>
      </c>
      <c r="K587" s="1" t="s">
        <v>1468</v>
      </c>
      <c r="L587" s="1"/>
      <c r="M587" s="1" t="s">
        <v>1685</v>
      </c>
      <c r="N587" s="6">
        <f>IFERROR(__xludf.DUMMYFUNCTION("IF(REGEXMATCH(A587, ""^00-""), 0, IF(AND(EQ(F587, """"), EQ(G587, """")), 1, 0))"),0.0)</f>
        <v>0</v>
      </c>
      <c r="O587" s="6">
        <f>IFERROR(__xludf.DUMMYFUNCTION("IF(REGEXMATCH(A587, ""^00-""), 0, IF(AND(NE(F587, """"), EQ(G587, """")), 1, 0))"),0.0)</f>
        <v>0</v>
      </c>
      <c r="P587" s="6">
        <f>IFERROR(__xludf.DUMMYFUNCTION("IF(REGEXMATCH(A587, ""^00-""), 0, IF(AND(EQ(F587, """"), NE(G587, """")), 1, 0))"),0.0)</f>
        <v>0</v>
      </c>
      <c r="Q587" s="6">
        <f>IFERROR(__xludf.DUMMYFUNCTION("IF(REGEXMATCH(A587, ""^00-""), 0, IF(AND(NE(F587, """"), NE(G587, """")), 1, 0))"),1.0)</f>
        <v>1</v>
      </c>
      <c r="R587" s="6">
        <f t="shared" si="1"/>
        <v>1</v>
      </c>
    </row>
    <row r="588">
      <c r="A588" s="1" t="s">
        <v>82</v>
      </c>
      <c r="B588" s="1" t="s">
        <v>1689</v>
      </c>
      <c r="C588" s="1">
        <v>748.0</v>
      </c>
      <c r="D588" s="1">
        <v>167.0</v>
      </c>
      <c r="E588" s="1">
        <v>915.0</v>
      </c>
      <c r="F588" s="1" t="s">
        <v>1690</v>
      </c>
      <c r="G588" s="1" t="s">
        <v>1691</v>
      </c>
      <c r="H588" s="1" t="s">
        <v>269</v>
      </c>
      <c r="I588" s="1" t="s">
        <v>172</v>
      </c>
      <c r="J588" s="1" t="s">
        <v>1586</v>
      </c>
      <c r="K588" s="1" t="s">
        <v>1468</v>
      </c>
      <c r="L588" s="1"/>
      <c r="M588" s="1" t="s">
        <v>1685</v>
      </c>
      <c r="N588" s="6">
        <f>IFERROR(__xludf.DUMMYFUNCTION("IF(REGEXMATCH(A588, ""^00-""), 0, IF(AND(EQ(F588, """"), EQ(G588, """")), 1, 0))"),0.0)</f>
        <v>0</v>
      </c>
      <c r="O588" s="6">
        <f>IFERROR(__xludf.DUMMYFUNCTION("IF(REGEXMATCH(A588, ""^00-""), 0, IF(AND(NE(F588, """"), EQ(G588, """")), 1, 0))"),0.0)</f>
        <v>0</v>
      </c>
      <c r="P588" s="6">
        <f>IFERROR(__xludf.DUMMYFUNCTION("IF(REGEXMATCH(A588, ""^00-""), 0, IF(AND(EQ(F588, """"), NE(G588, """")), 1, 0))"),0.0)</f>
        <v>0</v>
      </c>
      <c r="Q588" s="6">
        <f>IFERROR(__xludf.DUMMYFUNCTION("IF(REGEXMATCH(A588, ""^00-""), 0, IF(AND(NE(F588, """"), NE(G588, """")), 1, 0))"),1.0)</f>
        <v>1</v>
      </c>
      <c r="R588" s="6">
        <f t="shared" si="1"/>
        <v>1</v>
      </c>
    </row>
    <row r="589">
      <c r="A589" s="1" t="s">
        <v>82</v>
      </c>
      <c r="B589" s="1" t="s">
        <v>1692</v>
      </c>
      <c r="C589" s="1">
        <v>627.0</v>
      </c>
      <c r="D589" s="1">
        <v>288.0</v>
      </c>
      <c r="E589" s="1">
        <v>915.0</v>
      </c>
      <c r="F589" s="1" t="s">
        <v>1693</v>
      </c>
      <c r="G589" s="1" t="s">
        <v>1694</v>
      </c>
      <c r="H589" s="1" t="s">
        <v>190</v>
      </c>
      <c r="I589" s="1" t="s">
        <v>172</v>
      </c>
      <c r="J589" s="1" t="s">
        <v>1586</v>
      </c>
      <c r="K589" s="1" t="s">
        <v>1468</v>
      </c>
      <c r="L589" s="1"/>
      <c r="M589" s="1" t="s">
        <v>191</v>
      </c>
      <c r="N589" s="6">
        <f>IFERROR(__xludf.DUMMYFUNCTION("IF(REGEXMATCH(A589, ""^00-""), 0, IF(AND(EQ(F589, """"), EQ(G589, """")), 1, 0))"),0.0)</f>
        <v>0</v>
      </c>
      <c r="O589" s="6">
        <f>IFERROR(__xludf.DUMMYFUNCTION("IF(REGEXMATCH(A589, ""^00-""), 0, IF(AND(NE(F589, """"), EQ(G589, """")), 1, 0))"),0.0)</f>
        <v>0</v>
      </c>
      <c r="P589" s="6">
        <f>IFERROR(__xludf.DUMMYFUNCTION("IF(REGEXMATCH(A589, ""^00-""), 0, IF(AND(EQ(F589, """"), NE(G589, """")), 1, 0))"),0.0)</f>
        <v>0</v>
      </c>
      <c r="Q589" s="6">
        <f>IFERROR(__xludf.DUMMYFUNCTION("IF(REGEXMATCH(A589, ""^00-""), 0, IF(AND(NE(F589, """"), NE(G589, """")), 1, 0))"),1.0)</f>
        <v>1</v>
      </c>
      <c r="R589" s="6">
        <f t="shared" si="1"/>
        <v>1</v>
      </c>
    </row>
    <row r="590">
      <c r="A590" s="1" t="s">
        <v>82</v>
      </c>
      <c r="B590" s="1" t="s">
        <v>1695</v>
      </c>
      <c r="C590" s="1">
        <v>557.0</v>
      </c>
      <c r="D590" s="1">
        <v>358.0</v>
      </c>
      <c r="E590" s="1">
        <v>915.0</v>
      </c>
      <c r="F590" s="1" t="s">
        <v>1696</v>
      </c>
      <c r="G590" s="1" t="s">
        <v>1697</v>
      </c>
      <c r="H590" s="1" t="s">
        <v>190</v>
      </c>
      <c r="I590" s="1" t="s">
        <v>172</v>
      </c>
      <c r="J590" s="1" t="s">
        <v>1586</v>
      </c>
      <c r="K590" s="1" t="s">
        <v>1468</v>
      </c>
      <c r="L590" s="1"/>
      <c r="M590" s="1" t="s">
        <v>191</v>
      </c>
      <c r="N590" s="6">
        <f>IFERROR(__xludf.DUMMYFUNCTION("IF(REGEXMATCH(A590, ""^00-""), 0, IF(AND(EQ(F590, """"), EQ(G590, """")), 1, 0))"),0.0)</f>
        <v>0</v>
      </c>
      <c r="O590" s="6">
        <f>IFERROR(__xludf.DUMMYFUNCTION("IF(REGEXMATCH(A590, ""^00-""), 0, IF(AND(NE(F590, """"), EQ(G590, """")), 1, 0))"),0.0)</f>
        <v>0</v>
      </c>
      <c r="P590" s="6">
        <f>IFERROR(__xludf.DUMMYFUNCTION("IF(REGEXMATCH(A590, ""^00-""), 0, IF(AND(EQ(F590, """"), NE(G590, """")), 1, 0))"),0.0)</f>
        <v>0</v>
      </c>
      <c r="Q590" s="6">
        <f>IFERROR(__xludf.DUMMYFUNCTION("IF(REGEXMATCH(A590, ""^00-""), 0, IF(AND(NE(F590, """"), NE(G590, """")), 1, 0))"),1.0)</f>
        <v>1</v>
      </c>
      <c r="R590" s="6">
        <f t="shared" si="1"/>
        <v>1</v>
      </c>
    </row>
    <row r="591">
      <c r="A591" s="1" t="s">
        <v>82</v>
      </c>
      <c r="B591" s="1" t="s">
        <v>1698</v>
      </c>
      <c r="C591" s="1">
        <v>549.0</v>
      </c>
      <c r="D591" s="1">
        <v>366.0</v>
      </c>
      <c r="E591" s="1">
        <v>915.0</v>
      </c>
      <c r="F591" s="1" t="s">
        <v>1699</v>
      </c>
      <c r="G591" s="1" t="s">
        <v>1700</v>
      </c>
      <c r="H591" s="1" t="s">
        <v>190</v>
      </c>
      <c r="I591" s="1" t="s">
        <v>172</v>
      </c>
      <c r="J591" s="1" t="s">
        <v>1586</v>
      </c>
      <c r="K591" s="1" t="s">
        <v>1468</v>
      </c>
      <c r="L591" s="1"/>
      <c r="M591" s="1" t="s">
        <v>191</v>
      </c>
      <c r="N591" s="6">
        <f>IFERROR(__xludf.DUMMYFUNCTION("IF(REGEXMATCH(A591, ""^00-""), 0, IF(AND(EQ(F591, """"), EQ(G591, """")), 1, 0))"),0.0)</f>
        <v>0</v>
      </c>
      <c r="O591" s="6">
        <f>IFERROR(__xludf.DUMMYFUNCTION("IF(REGEXMATCH(A591, ""^00-""), 0, IF(AND(NE(F591, """"), EQ(G591, """")), 1, 0))"),0.0)</f>
        <v>0</v>
      </c>
      <c r="P591" s="6">
        <f>IFERROR(__xludf.DUMMYFUNCTION("IF(REGEXMATCH(A591, ""^00-""), 0, IF(AND(EQ(F591, """"), NE(G591, """")), 1, 0))"),0.0)</f>
        <v>0</v>
      </c>
      <c r="Q591" s="6">
        <f>IFERROR(__xludf.DUMMYFUNCTION("IF(REGEXMATCH(A591, ""^00-""), 0, IF(AND(NE(F591, """"), NE(G591, """")), 1, 0))"),1.0)</f>
        <v>1</v>
      </c>
      <c r="R591" s="6">
        <f t="shared" si="1"/>
        <v>1</v>
      </c>
    </row>
    <row r="592">
      <c r="A592" s="1" t="s">
        <v>82</v>
      </c>
      <c r="B592" s="1" t="s">
        <v>1701</v>
      </c>
      <c r="C592" s="1">
        <v>59.0</v>
      </c>
      <c r="D592" s="1">
        <v>856.0</v>
      </c>
      <c r="E592" s="1">
        <v>915.0</v>
      </c>
      <c r="F592" s="1" t="s">
        <v>1702</v>
      </c>
      <c r="G592" s="1"/>
      <c r="H592" s="1" t="s">
        <v>190</v>
      </c>
      <c r="I592" s="1" t="s">
        <v>172</v>
      </c>
      <c r="J592" s="1" t="s">
        <v>1586</v>
      </c>
      <c r="K592" s="1" t="s">
        <v>1468</v>
      </c>
      <c r="L592" s="1"/>
      <c r="M592" s="1" t="s">
        <v>191</v>
      </c>
      <c r="N592" s="6">
        <f>IFERROR(__xludf.DUMMYFUNCTION("IF(REGEXMATCH(A592, ""^00-""), 0, IF(AND(EQ(F592, """"), EQ(G592, """")), 1, 0))"),0.0)</f>
        <v>0</v>
      </c>
      <c r="O592" s="6">
        <f>IFERROR(__xludf.DUMMYFUNCTION("IF(REGEXMATCH(A592, ""^00-""), 0, IF(AND(NE(F592, """"), EQ(G592, """")), 1, 0))"),1.0)</f>
        <v>1</v>
      </c>
      <c r="P592" s="6">
        <f>IFERROR(__xludf.DUMMYFUNCTION("IF(REGEXMATCH(A592, ""^00-""), 0, IF(AND(EQ(F592, """"), NE(G592, """")), 1, 0))"),0.0)</f>
        <v>0</v>
      </c>
      <c r="Q592" s="6">
        <f>IFERROR(__xludf.DUMMYFUNCTION("IF(REGEXMATCH(A592, ""^00-""), 0, IF(AND(NE(F592, """"), NE(G592, """")), 1, 0))"),0.0)</f>
        <v>0</v>
      </c>
      <c r="R592" s="6">
        <f t="shared" si="1"/>
        <v>1</v>
      </c>
    </row>
    <row r="593">
      <c r="A593" s="1" t="s">
        <v>82</v>
      </c>
      <c r="B593" s="1" t="s">
        <v>1703</v>
      </c>
      <c r="C593" s="1">
        <v>56.0</v>
      </c>
      <c r="D593" s="1">
        <v>859.0</v>
      </c>
      <c r="E593" s="1">
        <v>915.0</v>
      </c>
      <c r="F593" s="1" t="s">
        <v>1704</v>
      </c>
      <c r="G593" s="1"/>
      <c r="H593" s="1" t="s">
        <v>190</v>
      </c>
      <c r="I593" s="1" t="s">
        <v>172</v>
      </c>
      <c r="J593" s="1" t="s">
        <v>1586</v>
      </c>
      <c r="K593" s="1" t="s">
        <v>1468</v>
      </c>
      <c r="L593" s="1"/>
      <c r="M593" s="1" t="s">
        <v>191</v>
      </c>
      <c r="N593" s="6">
        <f>IFERROR(__xludf.DUMMYFUNCTION("IF(REGEXMATCH(A593, ""^00-""), 0, IF(AND(EQ(F593, """"), EQ(G593, """")), 1, 0))"),0.0)</f>
        <v>0</v>
      </c>
      <c r="O593" s="6">
        <f>IFERROR(__xludf.DUMMYFUNCTION("IF(REGEXMATCH(A593, ""^00-""), 0, IF(AND(NE(F593, """"), EQ(G593, """")), 1, 0))"),1.0)</f>
        <v>1</v>
      </c>
      <c r="P593" s="6">
        <f>IFERROR(__xludf.DUMMYFUNCTION("IF(REGEXMATCH(A593, ""^00-""), 0, IF(AND(EQ(F593, """"), NE(G593, """")), 1, 0))"),0.0)</f>
        <v>0</v>
      </c>
      <c r="Q593" s="6">
        <f>IFERROR(__xludf.DUMMYFUNCTION("IF(REGEXMATCH(A593, ""^00-""), 0, IF(AND(NE(F593, """"), NE(G593, """")), 1, 0))"),0.0)</f>
        <v>0</v>
      </c>
      <c r="R593" s="6">
        <f t="shared" si="1"/>
        <v>1</v>
      </c>
    </row>
    <row r="594">
      <c r="A594" s="1" t="s">
        <v>82</v>
      </c>
      <c r="B594" s="1" t="s">
        <v>1705</v>
      </c>
      <c r="C594" s="1">
        <v>662.0</v>
      </c>
      <c r="D594" s="1">
        <v>253.0</v>
      </c>
      <c r="E594" s="1">
        <v>915.0</v>
      </c>
      <c r="F594" s="1" t="s">
        <v>1706</v>
      </c>
      <c r="G594" s="1" t="s">
        <v>1707</v>
      </c>
      <c r="H594" s="1" t="s">
        <v>190</v>
      </c>
      <c r="I594" s="1" t="s">
        <v>172</v>
      </c>
      <c r="J594" s="1" t="s">
        <v>1586</v>
      </c>
      <c r="K594" s="1" t="s">
        <v>1468</v>
      </c>
      <c r="L594" s="1"/>
      <c r="M594" s="1" t="s">
        <v>191</v>
      </c>
      <c r="N594" s="6">
        <f>IFERROR(__xludf.DUMMYFUNCTION("IF(REGEXMATCH(A594, ""^00-""), 0, IF(AND(EQ(F594, """"), EQ(G594, """")), 1, 0))"),0.0)</f>
        <v>0</v>
      </c>
      <c r="O594" s="6">
        <f>IFERROR(__xludf.DUMMYFUNCTION("IF(REGEXMATCH(A594, ""^00-""), 0, IF(AND(NE(F594, """"), EQ(G594, """")), 1, 0))"),0.0)</f>
        <v>0</v>
      </c>
      <c r="P594" s="6">
        <f>IFERROR(__xludf.DUMMYFUNCTION("IF(REGEXMATCH(A594, ""^00-""), 0, IF(AND(EQ(F594, """"), NE(G594, """")), 1, 0))"),0.0)</f>
        <v>0</v>
      </c>
      <c r="Q594" s="6">
        <f>IFERROR(__xludf.DUMMYFUNCTION("IF(REGEXMATCH(A594, ""^00-""), 0, IF(AND(NE(F594, """"), NE(G594, """")), 1, 0))"),1.0)</f>
        <v>1</v>
      </c>
      <c r="R594" s="6">
        <f t="shared" si="1"/>
        <v>1</v>
      </c>
    </row>
    <row r="595">
      <c r="A595" s="1" t="s">
        <v>82</v>
      </c>
      <c r="B595" s="1" t="s">
        <v>1708</v>
      </c>
      <c r="C595" s="1">
        <v>658.0</v>
      </c>
      <c r="D595" s="1">
        <v>257.0</v>
      </c>
      <c r="E595" s="1">
        <v>915.0</v>
      </c>
      <c r="F595" s="1" t="s">
        <v>1709</v>
      </c>
      <c r="G595" s="1" t="s">
        <v>1710</v>
      </c>
      <c r="H595" s="1" t="s">
        <v>269</v>
      </c>
      <c r="I595" s="1" t="s">
        <v>172</v>
      </c>
      <c r="J595" s="1" t="s">
        <v>1586</v>
      </c>
      <c r="K595" s="1" t="s">
        <v>1468</v>
      </c>
      <c r="L595" s="1"/>
      <c r="M595" s="1" t="s">
        <v>1685</v>
      </c>
      <c r="N595" s="6">
        <f>IFERROR(__xludf.DUMMYFUNCTION("IF(REGEXMATCH(A595, ""^00-""), 0, IF(AND(EQ(F595, """"), EQ(G595, """")), 1, 0))"),0.0)</f>
        <v>0</v>
      </c>
      <c r="O595" s="6">
        <f>IFERROR(__xludf.DUMMYFUNCTION("IF(REGEXMATCH(A595, ""^00-""), 0, IF(AND(NE(F595, """"), EQ(G595, """")), 1, 0))"),0.0)</f>
        <v>0</v>
      </c>
      <c r="P595" s="6">
        <f>IFERROR(__xludf.DUMMYFUNCTION("IF(REGEXMATCH(A595, ""^00-""), 0, IF(AND(EQ(F595, """"), NE(G595, """")), 1, 0))"),0.0)</f>
        <v>0</v>
      </c>
      <c r="Q595" s="6">
        <f>IFERROR(__xludf.DUMMYFUNCTION("IF(REGEXMATCH(A595, ""^00-""), 0, IF(AND(NE(F595, """"), NE(G595, """")), 1, 0))"),1.0)</f>
        <v>1</v>
      </c>
      <c r="R595" s="6">
        <f t="shared" si="1"/>
        <v>1</v>
      </c>
    </row>
    <row r="596">
      <c r="A596" s="1" t="s">
        <v>82</v>
      </c>
      <c r="B596" s="1" t="s">
        <v>1711</v>
      </c>
      <c r="C596" s="1">
        <v>658.0</v>
      </c>
      <c r="D596" s="1">
        <v>257.0</v>
      </c>
      <c r="E596" s="1">
        <v>915.0</v>
      </c>
      <c r="F596" s="1" t="s">
        <v>1712</v>
      </c>
      <c r="G596" s="1" t="s">
        <v>1713</v>
      </c>
      <c r="H596" s="1" t="s">
        <v>269</v>
      </c>
      <c r="I596" s="1" t="s">
        <v>172</v>
      </c>
      <c r="J596" s="1" t="s">
        <v>1586</v>
      </c>
      <c r="K596" s="1" t="s">
        <v>1468</v>
      </c>
      <c r="L596" s="1"/>
      <c r="M596" s="1" t="s">
        <v>1714</v>
      </c>
      <c r="N596" s="6">
        <f>IFERROR(__xludf.DUMMYFUNCTION("IF(REGEXMATCH(A596, ""^00-""), 0, IF(AND(EQ(F596, """"), EQ(G596, """")), 1, 0))"),0.0)</f>
        <v>0</v>
      </c>
      <c r="O596" s="6">
        <f>IFERROR(__xludf.DUMMYFUNCTION("IF(REGEXMATCH(A596, ""^00-""), 0, IF(AND(NE(F596, """"), EQ(G596, """")), 1, 0))"),0.0)</f>
        <v>0</v>
      </c>
      <c r="P596" s="6">
        <f>IFERROR(__xludf.DUMMYFUNCTION("IF(REGEXMATCH(A596, ""^00-""), 0, IF(AND(EQ(F596, """"), NE(G596, """")), 1, 0))"),0.0)</f>
        <v>0</v>
      </c>
      <c r="Q596" s="6">
        <f>IFERROR(__xludf.DUMMYFUNCTION("IF(REGEXMATCH(A596, ""^00-""), 0, IF(AND(NE(F596, """"), NE(G596, """")), 1, 0))"),1.0)</f>
        <v>1</v>
      </c>
      <c r="R596" s="6">
        <f t="shared" si="1"/>
        <v>1</v>
      </c>
    </row>
    <row r="597">
      <c r="A597" s="1" t="s">
        <v>82</v>
      </c>
      <c r="B597" s="1" t="s">
        <v>1715</v>
      </c>
      <c r="C597" s="1">
        <v>228.0</v>
      </c>
      <c r="D597" s="1">
        <v>687.0</v>
      </c>
      <c r="E597" s="1">
        <v>915.0</v>
      </c>
      <c r="F597" s="1" t="s">
        <v>1716</v>
      </c>
      <c r="G597" s="1"/>
      <c r="H597" s="1" t="s">
        <v>269</v>
      </c>
      <c r="I597" s="1" t="s">
        <v>172</v>
      </c>
      <c r="J597" s="1" t="s">
        <v>1586</v>
      </c>
      <c r="K597" s="1" t="s">
        <v>1468</v>
      </c>
      <c r="L597" s="1"/>
      <c r="M597" s="1" t="s">
        <v>1714</v>
      </c>
      <c r="N597" s="6">
        <f>IFERROR(__xludf.DUMMYFUNCTION("IF(REGEXMATCH(A597, ""^00-""), 0, IF(AND(EQ(F597, """"), EQ(G597, """")), 1, 0))"),0.0)</f>
        <v>0</v>
      </c>
      <c r="O597" s="6">
        <f>IFERROR(__xludf.DUMMYFUNCTION("IF(REGEXMATCH(A597, ""^00-""), 0, IF(AND(NE(F597, """"), EQ(G597, """")), 1, 0))"),1.0)</f>
        <v>1</v>
      </c>
      <c r="P597" s="6">
        <f>IFERROR(__xludf.DUMMYFUNCTION("IF(REGEXMATCH(A597, ""^00-""), 0, IF(AND(EQ(F597, """"), NE(G597, """")), 1, 0))"),0.0)</f>
        <v>0</v>
      </c>
      <c r="Q597" s="6">
        <f>IFERROR(__xludf.DUMMYFUNCTION("IF(REGEXMATCH(A597, ""^00-""), 0, IF(AND(NE(F597, """"), NE(G597, """")), 1, 0))"),0.0)</f>
        <v>0</v>
      </c>
      <c r="R597" s="6">
        <f t="shared" si="1"/>
        <v>1</v>
      </c>
    </row>
    <row r="598">
      <c r="A598" s="1" t="s">
        <v>82</v>
      </c>
      <c r="B598" s="1" t="s">
        <v>1717</v>
      </c>
      <c r="C598" s="1">
        <v>633.0</v>
      </c>
      <c r="D598" s="1">
        <v>282.0</v>
      </c>
      <c r="E598" s="1">
        <v>915.0</v>
      </c>
      <c r="F598" s="1" t="s">
        <v>1718</v>
      </c>
      <c r="G598" s="1" t="s">
        <v>1719</v>
      </c>
      <c r="H598" s="1" t="s">
        <v>269</v>
      </c>
      <c r="I598" s="1" t="s">
        <v>172</v>
      </c>
      <c r="J598" s="1" t="s">
        <v>1586</v>
      </c>
      <c r="K598" s="1" t="s">
        <v>1468</v>
      </c>
      <c r="L598" s="1"/>
      <c r="M598" s="1" t="s">
        <v>1685</v>
      </c>
      <c r="N598" s="6">
        <f>IFERROR(__xludf.DUMMYFUNCTION("IF(REGEXMATCH(A598, ""^00-""), 0, IF(AND(EQ(F598, """"), EQ(G598, """")), 1, 0))"),0.0)</f>
        <v>0</v>
      </c>
      <c r="O598" s="6">
        <f>IFERROR(__xludf.DUMMYFUNCTION("IF(REGEXMATCH(A598, ""^00-""), 0, IF(AND(NE(F598, """"), EQ(G598, """")), 1, 0))"),0.0)</f>
        <v>0</v>
      </c>
      <c r="P598" s="6">
        <f>IFERROR(__xludf.DUMMYFUNCTION("IF(REGEXMATCH(A598, ""^00-""), 0, IF(AND(EQ(F598, """"), NE(G598, """")), 1, 0))"),0.0)</f>
        <v>0</v>
      </c>
      <c r="Q598" s="6">
        <f>IFERROR(__xludf.DUMMYFUNCTION("IF(REGEXMATCH(A598, ""^00-""), 0, IF(AND(NE(F598, """"), NE(G598, """")), 1, 0))"),1.0)</f>
        <v>1</v>
      </c>
      <c r="R598" s="6">
        <f t="shared" si="1"/>
        <v>1</v>
      </c>
    </row>
    <row r="599">
      <c r="A599" s="1" t="s">
        <v>82</v>
      </c>
      <c r="B599" s="1" t="s">
        <v>1720</v>
      </c>
      <c r="C599" s="1">
        <v>243.0</v>
      </c>
      <c r="D599" s="1">
        <v>672.0</v>
      </c>
      <c r="E599" s="1">
        <v>915.0</v>
      </c>
      <c r="F599" s="1" t="s">
        <v>1721</v>
      </c>
      <c r="G599" s="1" t="s">
        <v>1722</v>
      </c>
      <c r="H599" s="1" t="s">
        <v>269</v>
      </c>
      <c r="I599" s="1" t="s">
        <v>172</v>
      </c>
      <c r="J599" s="1" t="s">
        <v>1586</v>
      </c>
      <c r="K599" s="1" t="s">
        <v>1468</v>
      </c>
      <c r="L599" s="1"/>
      <c r="M599" s="1" t="s">
        <v>1723</v>
      </c>
      <c r="N599" s="6">
        <f>IFERROR(__xludf.DUMMYFUNCTION("IF(REGEXMATCH(A599, ""^00-""), 0, IF(AND(EQ(F599, """"), EQ(G599, """")), 1, 0))"),0.0)</f>
        <v>0</v>
      </c>
      <c r="O599" s="6">
        <f>IFERROR(__xludf.DUMMYFUNCTION("IF(REGEXMATCH(A599, ""^00-""), 0, IF(AND(NE(F599, """"), EQ(G599, """")), 1, 0))"),0.0)</f>
        <v>0</v>
      </c>
      <c r="P599" s="6">
        <f>IFERROR(__xludf.DUMMYFUNCTION("IF(REGEXMATCH(A599, ""^00-""), 0, IF(AND(EQ(F599, """"), NE(G599, """")), 1, 0))"),0.0)</f>
        <v>0</v>
      </c>
      <c r="Q599" s="6">
        <f>IFERROR(__xludf.DUMMYFUNCTION("IF(REGEXMATCH(A599, ""^00-""), 0, IF(AND(NE(F599, """"), NE(G599, """")), 1, 0))"),1.0)</f>
        <v>1</v>
      </c>
      <c r="R599" s="6">
        <f t="shared" si="1"/>
        <v>1</v>
      </c>
    </row>
    <row r="600">
      <c r="A600" s="1" t="s">
        <v>82</v>
      </c>
      <c r="B600" s="1" t="s">
        <v>1724</v>
      </c>
      <c r="C600" s="1">
        <v>98.0</v>
      </c>
      <c r="D600" s="1">
        <v>817.0</v>
      </c>
      <c r="E600" s="1">
        <v>915.0</v>
      </c>
      <c r="F600" s="1" t="s">
        <v>1725</v>
      </c>
      <c r="G600" s="1"/>
      <c r="H600" s="1" t="s">
        <v>269</v>
      </c>
      <c r="I600" s="1" t="s">
        <v>172</v>
      </c>
      <c r="J600" s="1" t="s">
        <v>1586</v>
      </c>
      <c r="K600" s="1" t="s">
        <v>1468</v>
      </c>
      <c r="L600" s="1"/>
      <c r="M600" s="1" t="s">
        <v>1723</v>
      </c>
      <c r="N600" s="6">
        <f>IFERROR(__xludf.DUMMYFUNCTION("IF(REGEXMATCH(A600, ""^00-""), 0, IF(AND(EQ(F600, """"), EQ(G600, """")), 1, 0))"),0.0)</f>
        <v>0</v>
      </c>
      <c r="O600" s="6">
        <f>IFERROR(__xludf.DUMMYFUNCTION("IF(REGEXMATCH(A600, ""^00-""), 0, IF(AND(NE(F600, """"), EQ(G600, """")), 1, 0))"),1.0)</f>
        <v>1</v>
      </c>
      <c r="P600" s="6">
        <f>IFERROR(__xludf.DUMMYFUNCTION("IF(REGEXMATCH(A600, ""^00-""), 0, IF(AND(EQ(F600, """"), NE(G600, """")), 1, 0))"),0.0)</f>
        <v>0</v>
      </c>
      <c r="Q600" s="6">
        <f>IFERROR(__xludf.DUMMYFUNCTION("IF(REGEXMATCH(A600, ""^00-""), 0, IF(AND(NE(F600, """"), NE(G600, """")), 1, 0))"),0.0)</f>
        <v>0</v>
      </c>
      <c r="R600" s="6">
        <f t="shared" si="1"/>
        <v>1</v>
      </c>
    </row>
    <row r="601">
      <c r="A601" s="1" t="s">
        <v>82</v>
      </c>
      <c r="B601" s="1" t="s">
        <v>1726</v>
      </c>
      <c r="C601" s="1">
        <v>408.0</v>
      </c>
      <c r="D601" s="1">
        <v>507.0</v>
      </c>
      <c r="E601" s="1">
        <v>915.0</v>
      </c>
      <c r="F601" s="1"/>
      <c r="G601" s="1" t="s">
        <v>1727</v>
      </c>
      <c r="H601" s="1" t="s">
        <v>269</v>
      </c>
      <c r="I601" s="1" t="s">
        <v>172</v>
      </c>
      <c r="J601" s="1" t="s">
        <v>1586</v>
      </c>
      <c r="K601" s="1" t="s">
        <v>1468</v>
      </c>
      <c r="L601" s="1"/>
      <c r="M601" s="1" t="s">
        <v>1726</v>
      </c>
      <c r="N601" s="6">
        <f>IFERROR(__xludf.DUMMYFUNCTION("IF(REGEXMATCH(A601, ""^00-""), 0, IF(AND(EQ(F601, """"), EQ(G601, """")), 1, 0))"),0.0)</f>
        <v>0</v>
      </c>
      <c r="O601" s="6">
        <f>IFERROR(__xludf.DUMMYFUNCTION("IF(REGEXMATCH(A601, ""^00-""), 0, IF(AND(NE(F601, """"), EQ(G601, """")), 1, 0))"),0.0)</f>
        <v>0</v>
      </c>
      <c r="P601" s="6">
        <f>IFERROR(__xludf.DUMMYFUNCTION("IF(REGEXMATCH(A601, ""^00-""), 0, IF(AND(EQ(F601, """"), NE(G601, """")), 1, 0))"),1.0)</f>
        <v>1</v>
      </c>
      <c r="Q601" s="6">
        <f>IFERROR(__xludf.DUMMYFUNCTION("IF(REGEXMATCH(A601, ""^00-""), 0, IF(AND(NE(F601, """"), NE(G601, """")), 1, 0))"),0.0)</f>
        <v>0</v>
      </c>
      <c r="R601" s="6">
        <f t="shared" si="1"/>
        <v>1</v>
      </c>
    </row>
    <row r="602">
      <c r="A602" s="1" t="s">
        <v>82</v>
      </c>
      <c r="B602" s="1" t="s">
        <v>1728</v>
      </c>
      <c r="C602" s="1">
        <v>502.0</v>
      </c>
      <c r="D602" s="1">
        <v>413.0</v>
      </c>
      <c r="E602" s="1">
        <v>915.0</v>
      </c>
      <c r="F602" s="1"/>
      <c r="G602" s="1" t="s">
        <v>1729</v>
      </c>
      <c r="H602" s="1" t="s">
        <v>235</v>
      </c>
      <c r="I602" s="1" t="s">
        <v>172</v>
      </c>
      <c r="J602" s="1" t="s">
        <v>1586</v>
      </c>
      <c r="K602" s="1" t="s">
        <v>1468</v>
      </c>
      <c r="L602" s="1"/>
      <c r="M602" s="1" t="s">
        <v>1728</v>
      </c>
      <c r="N602" s="6">
        <f>IFERROR(__xludf.DUMMYFUNCTION("IF(REGEXMATCH(A602, ""^00-""), 0, IF(AND(EQ(F602, """"), EQ(G602, """")), 1, 0))"),0.0)</f>
        <v>0</v>
      </c>
      <c r="O602" s="6">
        <f>IFERROR(__xludf.DUMMYFUNCTION("IF(REGEXMATCH(A602, ""^00-""), 0, IF(AND(NE(F602, """"), EQ(G602, """")), 1, 0))"),0.0)</f>
        <v>0</v>
      </c>
      <c r="P602" s="6">
        <f>IFERROR(__xludf.DUMMYFUNCTION("IF(REGEXMATCH(A602, ""^00-""), 0, IF(AND(EQ(F602, """"), NE(G602, """")), 1, 0))"),1.0)</f>
        <v>1</v>
      </c>
      <c r="Q602" s="6">
        <f>IFERROR(__xludf.DUMMYFUNCTION("IF(REGEXMATCH(A602, ""^00-""), 0, IF(AND(NE(F602, """"), NE(G602, """")), 1, 0))"),0.0)</f>
        <v>0</v>
      </c>
      <c r="R602" s="6">
        <f t="shared" si="1"/>
        <v>1</v>
      </c>
    </row>
    <row r="603">
      <c r="A603" s="1" t="s">
        <v>82</v>
      </c>
      <c r="B603" s="1" t="s">
        <v>1730</v>
      </c>
      <c r="C603" s="1">
        <v>253.0</v>
      </c>
      <c r="D603" s="1">
        <v>662.0</v>
      </c>
      <c r="E603" s="1">
        <v>915.0</v>
      </c>
      <c r="F603" s="1" t="s">
        <v>1731</v>
      </c>
      <c r="G603" s="1" t="s">
        <v>1732</v>
      </c>
      <c r="H603" s="1" t="s">
        <v>171</v>
      </c>
      <c r="I603" s="1" t="s">
        <v>172</v>
      </c>
      <c r="J603" s="1" t="s">
        <v>1586</v>
      </c>
      <c r="K603" s="1" t="s">
        <v>1468</v>
      </c>
      <c r="L603" s="1"/>
      <c r="M603" s="1" t="s">
        <v>171</v>
      </c>
      <c r="N603" s="6">
        <f>IFERROR(__xludf.DUMMYFUNCTION("IF(REGEXMATCH(A603, ""^00-""), 0, IF(AND(EQ(F603, """"), EQ(G603, """")), 1, 0))"),0.0)</f>
        <v>0</v>
      </c>
      <c r="O603" s="6">
        <f>IFERROR(__xludf.DUMMYFUNCTION("IF(REGEXMATCH(A603, ""^00-""), 0, IF(AND(NE(F603, """"), EQ(G603, """")), 1, 0))"),0.0)</f>
        <v>0</v>
      </c>
      <c r="P603" s="6">
        <f>IFERROR(__xludf.DUMMYFUNCTION("IF(REGEXMATCH(A603, ""^00-""), 0, IF(AND(EQ(F603, """"), NE(G603, """")), 1, 0))"),0.0)</f>
        <v>0</v>
      </c>
      <c r="Q603" s="6">
        <f>IFERROR(__xludf.DUMMYFUNCTION("IF(REGEXMATCH(A603, ""^00-""), 0, IF(AND(NE(F603, """"), NE(G603, """")), 1, 0))"),1.0)</f>
        <v>1</v>
      </c>
      <c r="R603" s="6">
        <f t="shared" si="1"/>
        <v>1</v>
      </c>
    </row>
    <row r="604">
      <c r="A604" s="1" t="s">
        <v>82</v>
      </c>
      <c r="B604" s="1" t="s">
        <v>1733</v>
      </c>
      <c r="C604" s="1">
        <v>898.0</v>
      </c>
      <c r="D604" s="1">
        <v>17.0</v>
      </c>
      <c r="E604" s="1">
        <v>915.0</v>
      </c>
      <c r="F604" s="1" t="s">
        <v>1734</v>
      </c>
      <c r="G604" s="1" t="s">
        <v>1735</v>
      </c>
      <c r="H604" s="1" t="s">
        <v>269</v>
      </c>
      <c r="I604" s="1" t="s">
        <v>172</v>
      </c>
      <c r="J604" s="1" t="s">
        <v>1586</v>
      </c>
      <c r="K604" s="1" t="s">
        <v>1468</v>
      </c>
      <c r="L604" s="1"/>
      <c r="M604" s="1" t="s">
        <v>1733</v>
      </c>
      <c r="N604" s="6">
        <f>IFERROR(__xludf.DUMMYFUNCTION("IF(REGEXMATCH(A604, ""^00-""), 0, IF(AND(EQ(F604, """"), EQ(G604, """")), 1, 0))"),0.0)</f>
        <v>0</v>
      </c>
      <c r="O604" s="6">
        <f>IFERROR(__xludf.DUMMYFUNCTION("IF(REGEXMATCH(A604, ""^00-""), 0, IF(AND(NE(F604, """"), EQ(G604, """")), 1, 0))"),0.0)</f>
        <v>0</v>
      </c>
      <c r="P604" s="6">
        <f>IFERROR(__xludf.DUMMYFUNCTION("IF(REGEXMATCH(A604, ""^00-""), 0, IF(AND(EQ(F604, """"), NE(G604, """")), 1, 0))"),0.0)</f>
        <v>0</v>
      </c>
      <c r="Q604" s="6">
        <f>IFERROR(__xludf.DUMMYFUNCTION("IF(REGEXMATCH(A604, ""^00-""), 0, IF(AND(NE(F604, """"), NE(G604, """")), 1, 0))"),1.0)</f>
        <v>1</v>
      </c>
      <c r="R604" s="6">
        <f t="shared" si="1"/>
        <v>1</v>
      </c>
    </row>
    <row r="605">
      <c r="A605" s="1" t="s">
        <v>84</v>
      </c>
      <c r="B605" s="1" t="s">
        <v>1736</v>
      </c>
      <c r="C605" s="1">
        <v>477.0</v>
      </c>
      <c r="D605" s="1">
        <v>55.0</v>
      </c>
      <c r="E605" s="1">
        <v>532.0</v>
      </c>
      <c r="F605" s="1" t="s">
        <v>1737</v>
      </c>
      <c r="G605" s="1" t="s">
        <v>1738</v>
      </c>
      <c r="H605" s="1" t="s">
        <v>190</v>
      </c>
      <c r="I605" s="1" t="s">
        <v>172</v>
      </c>
      <c r="J605" s="1" t="s">
        <v>1586</v>
      </c>
      <c r="K605" s="1" t="s">
        <v>1468</v>
      </c>
      <c r="L605" s="1" t="b">
        <v>1</v>
      </c>
      <c r="M605" s="1" t="s">
        <v>191</v>
      </c>
      <c r="N605" s="6">
        <f>IFERROR(__xludf.DUMMYFUNCTION("IF(REGEXMATCH(A605, ""^00-""), 0, IF(AND(EQ(F605, """"), EQ(G605, """")), 1, 0))"),0.0)</f>
        <v>0</v>
      </c>
      <c r="O605" s="6">
        <f>IFERROR(__xludf.DUMMYFUNCTION("IF(REGEXMATCH(A605, ""^00-""), 0, IF(AND(NE(F605, """"), EQ(G605, """")), 1, 0))"),0.0)</f>
        <v>0</v>
      </c>
      <c r="P605" s="6">
        <f>IFERROR(__xludf.DUMMYFUNCTION("IF(REGEXMATCH(A605, ""^00-""), 0, IF(AND(EQ(F605, """"), NE(G605, """")), 1, 0))"),0.0)</f>
        <v>0</v>
      </c>
      <c r="Q605" s="6">
        <f>IFERROR(__xludf.DUMMYFUNCTION("IF(REGEXMATCH(A605, ""^00-""), 0, IF(AND(NE(F605, """"), NE(G605, """")), 1, 0))"),1.0)</f>
        <v>1</v>
      </c>
      <c r="R605" s="6">
        <f t="shared" si="1"/>
        <v>1</v>
      </c>
    </row>
    <row r="606">
      <c r="A606" s="1" t="s">
        <v>84</v>
      </c>
      <c r="B606" s="1" t="s">
        <v>1739</v>
      </c>
      <c r="C606" s="1">
        <v>148.0</v>
      </c>
      <c r="D606" s="1">
        <v>384.0</v>
      </c>
      <c r="E606" s="1">
        <v>532.0</v>
      </c>
      <c r="F606" s="1" t="s">
        <v>1740</v>
      </c>
      <c r="G606" s="1"/>
      <c r="H606" s="1" t="s">
        <v>190</v>
      </c>
      <c r="I606" s="1" t="s">
        <v>172</v>
      </c>
      <c r="J606" s="1" t="s">
        <v>1586</v>
      </c>
      <c r="K606" s="1" t="s">
        <v>1468</v>
      </c>
      <c r="L606" s="1" t="b">
        <v>1</v>
      </c>
      <c r="M606" s="1" t="s">
        <v>191</v>
      </c>
      <c r="N606" s="6">
        <f>IFERROR(__xludf.DUMMYFUNCTION("IF(REGEXMATCH(A606, ""^00-""), 0, IF(AND(EQ(F606, """"), EQ(G606, """")), 1, 0))"),0.0)</f>
        <v>0</v>
      </c>
      <c r="O606" s="6">
        <f>IFERROR(__xludf.DUMMYFUNCTION("IF(REGEXMATCH(A606, ""^00-""), 0, IF(AND(NE(F606, """"), EQ(G606, """")), 1, 0))"),1.0)</f>
        <v>1</v>
      </c>
      <c r="P606" s="6">
        <f>IFERROR(__xludf.DUMMYFUNCTION("IF(REGEXMATCH(A606, ""^00-""), 0, IF(AND(EQ(F606, """"), NE(G606, """")), 1, 0))"),0.0)</f>
        <v>0</v>
      </c>
      <c r="Q606" s="6">
        <f>IFERROR(__xludf.DUMMYFUNCTION("IF(REGEXMATCH(A606, ""^00-""), 0, IF(AND(NE(F606, """"), NE(G606, """")), 1, 0))"),0.0)</f>
        <v>0</v>
      </c>
      <c r="R606" s="6">
        <f t="shared" si="1"/>
        <v>1</v>
      </c>
    </row>
    <row r="607">
      <c r="A607" s="1" t="s">
        <v>84</v>
      </c>
      <c r="B607" s="1" t="s">
        <v>1741</v>
      </c>
      <c r="C607" s="1">
        <v>200.0</v>
      </c>
      <c r="D607" s="1">
        <v>332.0</v>
      </c>
      <c r="E607" s="1">
        <v>532.0</v>
      </c>
      <c r="F607" s="1"/>
      <c r="G607" s="1" t="s">
        <v>1742</v>
      </c>
      <c r="H607" s="1" t="s">
        <v>235</v>
      </c>
      <c r="I607" s="1" t="s">
        <v>172</v>
      </c>
      <c r="J607" s="1" t="s">
        <v>1586</v>
      </c>
      <c r="K607" s="1" t="s">
        <v>1468</v>
      </c>
      <c r="L607" s="1" t="b">
        <v>1</v>
      </c>
      <c r="M607" s="1" t="s">
        <v>1741</v>
      </c>
      <c r="N607" s="6">
        <f>IFERROR(__xludf.DUMMYFUNCTION("IF(REGEXMATCH(A607, ""^00-""), 0, IF(AND(EQ(F607, """"), EQ(G607, """")), 1, 0))"),0.0)</f>
        <v>0</v>
      </c>
      <c r="O607" s="6">
        <f>IFERROR(__xludf.DUMMYFUNCTION("IF(REGEXMATCH(A607, ""^00-""), 0, IF(AND(NE(F607, """"), EQ(G607, """")), 1, 0))"),0.0)</f>
        <v>0</v>
      </c>
      <c r="P607" s="6">
        <f>IFERROR(__xludf.DUMMYFUNCTION("IF(REGEXMATCH(A607, ""^00-""), 0, IF(AND(EQ(F607, """"), NE(G607, """")), 1, 0))"),1.0)</f>
        <v>1</v>
      </c>
      <c r="Q607" s="6">
        <f>IFERROR(__xludf.DUMMYFUNCTION("IF(REGEXMATCH(A607, ""^00-""), 0, IF(AND(NE(F607, """"), NE(G607, """")), 1, 0))"),0.0)</f>
        <v>0</v>
      </c>
      <c r="R607" s="6">
        <f t="shared" si="1"/>
        <v>1</v>
      </c>
    </row>
    <row r="608">
      <c r="A608" s="1" t="s">
        <v>84</v>
      </c>
      <c r="B608" s="1" t="s">
        <v>1743</v>
      </c>
      <c r="C608" s="1">
        <v>1.0</v>
      </c>
      <c r="D608" s="1">
        <v>531.0</v>
      </c>
      <c r="E608" s="1">
        <v>532.0</v>
      </c>
      <c r="F608" s="1"/>
      <c r="G608" s="1" t="s">
        <v>1744</v>
      </c>
      <c r="H608" s="1" t="s">
        <v>171</v>
      </c>
      <c r="I608" s="1" t="s">
        <v>172</v>
      </c>
      <c r="J608" s="1" t="s">
        <v>1586</v>
      </c>
      <c r="K608" s="1" t="s">
        <v>1468</v>
      </c>
      <c r="L608" s="1" t="b">
        <v>1</v>
      </c>
      <c r="M608" s="1" t="s">
        <v>171</v>
      </c>
      <c r="N608" s="6">
        <f>IFERROR(__xludf.DUMMYFUNCTION("IF(REGEXMATCH(A608, ""^00-""), 0, IF(AND(EQ(F608, """"), EQ(G608, """")), 1, 0))"),0.0)</f>
        <v>0</v>
      </c>
      <c r="O608" s="6">
        <f>IFERROR(__xludf.DUMMYFUNCTION("IF(REGEXMATCH(A608, ""^00-""), 0, IF(AND(NE(F608, """"), EQ(G608, """")), 1, 0))"),0.0)</f>
        <v>0</v>
      </c>
      <c r="P608" s="6">
        <f>IFERROR(__xludf.DUMMYFUNCTION("IF(REGEXMATCH(A608, ""^00-""), 0, IF(AND(EQ(F608, """"), NE(G608, """")), 1, 0))"),1.0)</f>
        <v>1</v>
      </c>
      <c r="Q608" s="6">
        <f>IFERROR(__xludf.DUMMYFUNCTION("IF(REGEXMATCH(A608, ""^00-""), 0, IF(AND(NE(F608, """"), NE(G608, """")), 1, 0))"),0.0)</f>
        <v>0</v>
      </c>
      <c r="R608" s="6">
        <f t="shared" si="1"/>
        <v>1</v>
      </c>
    </row>
    <row r="609">
      <c r="A609" s="1" t="s">
        <v>84</v>
      </c>
      <c r="B609" s="1" t="s">
        <v>1745</v>
      </c>
      <c r="C609" s="1">
        <v>10.0</v>
      </c>
      <c r="D609" s="1">
        <v>522.0</v>
      </c>
      <c r="E609" s="1">
        <v>532.0</v>
      </c>
      <c r="F609" s="1" t="s">
        <v>1746</v>
      </c>
      <c r="G609" s="1" t="s">
        <v>1747</v>
      </c>
      <c r="H609" s="1" t="s">
        <v>235</v>
      </c>
      <c r="I609" s="1" t="s">
        <v>172</v>
      </c>
      <c r="J609" s="1" t="s">
        <v>1586</v>
      </c>
      <c r="K609" s="1" t="s">
        <v>1468</v>
      </c>
      <c r="L609" s="1" t="b">
        <v>1</v>
      </c>
      <c r="M609" s="1" t="s">
        <v>1745</v>
      </c>
      <c r="N609" s="6">
        <f>IFERROR(__xludf.DUMMYFUNCTION("IF(REGEXMATCH(A609, ""^00-""), 0, IF(AND(EQ(F609, """"), EQ(G609, """")), 1, 0))"),0.0)</f>
        <v>0</v>
      </c>
      <c r="O609" s="6">
        <f>IFERROR(__xludf.DUMMYFUNCTION("IF(REGEXMATCH(A609, ""^00-""), 0, IF(AND(NE(F609, """"), EQ(G609, """")), 1, 0))"),0.0)</f>
        <v>0</v>
      </c>
      <c r="P609" s="6">
        <f>IFERROR(__xludf.DUMMYFUNCTION("IF(REGEXMATCH(A609, ""^00-""), 0, IF(AND(EQ(F609, """"), NE(G609, """")), 1, 0))"),0.0)</f>
        <v>0</v>
      </c>
      <c r="Q609" s="6">
        <f>IFERROR(__xludf.DUMMYFUNCTION("IF(REGEXMATCH(A609, ""^00-""), 0, IF(AND(NE(F609, """"), NE(G609, """")), 1, 0))"),1.0)</f>
        <v>1</v>
      </c>
      <c r="R609" s="6">
        <f t="shared" si="1"/>
        <v>1</v>
      </c>
    </row>
    <row r="610">
      <c r="A610" s="1" t="s">
        <v>84</v>
      </c>
      <c r="B610" s="1" t="s">
        <v>1748</v>
      </c>
      <c r="C610" s="1">
        <v>5.0</v>
      </c>
      <c r="D610" s="1">
        <v>527.0</v>
      </c>
      <c r="E610" s="1">
        <v>532.0</v>
      </c>
      <c r="F610" s="1"/>
      <c r="G610" s="1" t="s">
        <v>1749</v>
      </c>
      <c r="H610" s="1" t="s">
        <v>171</v>
      </c>
      <c r="I610" s="1" t="s">
        <v>172</v>
      </c>
      <c r="J610" s="1" t="s">
        <v>1586</v>
      </c>
      <c r="K610" s="1" t="s">
        <v>1468</v>
      </c>
      <c r="L610" s="1" t="b">
        <v>1</v>
      </c>
      <c r="M610" s="1" t="s">
        <v>171</v>
      </c>
      <c r="N610" s="6">
        <f>IFERROR(__xludf.DUMMYFUNCTION("IF(REGEXMATCH(A610, ""^00-""), 0, IF(AND(EQ(F610, """"), EQ(G610, """")), 1, 0))"),0.0)</f>
        <v>0</v>
      </c>
      <c r="O610" s="6">
        <f>IFERROR(__xludf.DUMMYFUNCTION("IF(REGEXMATCH(A610, ""^00-""), 0, IF(AND(NE(F610, """"), EQ(G610, """")), 1, 0))"),0.0)</f>
        <v>0</v>
      </c>
      <c r="P610" s="6">
        <f>IFERROR(__xludf.DUMMYFUNCTION("IF(REGEXMATCH(A610, ""^00-""), 0, IF(AND(EQ(F610, """"), NE(G610, """")), 1, 0))"),1.0)</f>
        <v>1</v>
      </c>
      <c r="Q610" s="6">
        <f>IFERROR(__xludf.DUMMYFUNCTION("IF(REGEXMATCH(A610, ""^00-""), 0, IF(AND(NE(F610, """"), NE(G610, """")), 1, 0))"),0.0)</f>
        <v>0</v>
      </c>
      <c r="R610" s="6">
        <f t="shared" si="1"/>
        <v>1</v>
      </c>
    </row>
    <row r="611">
      <c r="A611" s="1" t="s">
        <v>84</v>
      </c>
      <c r="B611" s="1" t="s">
        <v>1750</v>
      </c>
      <c r="C611" s="1">
        <v>147.0</v>
      </c>
      <c r="D611" s="1">
        <v>385.0</v>
      </c>
      <c r="E611" s="1">
        <v>532.0</v>
      </c>
      <c r="F611" s="1" t="s">
        <v>1751</v>
      </c>
      <c r="G611" s="1"/>
      <c r="H611" s="1" t="s">
        <v>190</v>
      </c>
      <c r="I611" s="1" t="s">
        <v>172</v>
      </c>
      <c r="J611" s="1" t="s">
        <v>1586</v>
      </c>
      <c r="K611" s="1" t="s">
        <v>1468</v>
      </c>
      <c r="L611" s="1" t="b">
        <v>1</v>
      </c>
      <c r="M611" s="1" t="s">
        <v>191</v>
      </c>
      <c r="N611" s="6">
        <f>IFERROR(__xludf.DUMMYFUNCTION("IF(REGEXMATCH(A611, ""^00-""), 0, IF(AND(EQ(F611, """"), EQ(G611, """")), 1, 0))"),0.0)</f>
        <v>0</v>
      </c>
      <c r="O611" s="6">
        <f>IFERROR(__xludf.DUMMYFUNCTION("IF(REGEXMATCH(A611, ""^00-""), 0, IF(AND(NE(F611, """"), EQ(G611, """")), 1, 0))"),1.0)</f>
        <v>1</v>
      </c>
      <c r="P611" s="6">
        <f>IFERROR(__xludf.DUMMYFUNCTION("IF(REGEXMATCH(A611, ""^00-""), 0, IF(AND(EQ(F611, """"), NE(G611, """")), 1, 0))"),0.0)</f>
        <v>0</v>
      </c>
      <c r="Q611" s="6">
        <f>IFERROR(__xludf.DUMMYFUNCTION("IF(REGEXMATCH(A611, ""^00-""), 0, IF(AND(NE(F611, """"), NE(G611, """")), 1, 0))"),0.0)</f>
        <v>0</v>
      </c>
      <c r="R611" s="6">
        <f t="shared" si="1"/>
        <v>1</v>
      </c>
    </row>
    <row r="612">
      <c r="A612" s="1" t="s">
        <v>84</v>
      </c>
      <c r="B612" s="1" t="s">
        <v>1752</v>
      </c>
      <c r="C612" s="1">
        <v>10.0</v>
      </c>
      <c r="D612" s="1">
        <v>522.0</v>
      </c>
      <c r="E612" s="1">
        <v>532.0</v>
      </c>
      <c r="F612" s="1" t="s">
        <v>1753</v>
      </c>
      <c r="G612" s="1"/>
      <c r="H612" s="1" t="s">
        <v>269</v>
      </c>
      <c r="I612" s="1" t="s">
        <v>172</v>
      </c>
      <c r="J612" s="1" t="s">
        <v>1586</v>
      </c>
      <c r="K612" s="1" t="s">
        <v>1468</v>
      </c>
      <c r="L612" s="1" t="b">
        <v>1</v>
      </c>
      <c r="M612" s="1" t="s">
        <v>1733</v>
      </c>
      <c r="N612" s="6">
        <f>IFERROR(__xludf.DUMMYFUNCTION("IF(REGEXMATCH(A612, ""^00-""), 0, IF(AND(EQ(F612, """"), EQ(G612, """")), 1, 0))"),0.0)</f>
        <v>0</v>
      </c>
      <c r="O612" s="6">
        <f>IFERROR(__xludf.DUMMYFUNCTION("IF(REGEXMATCH(A612, ""^00-""), 0, IF(AND(NE(F612, """"), EQ(G612, """")), 1, 0))"),1.0)</f>
        <v>1</v>
      </c>
      <c r="P612" s="6">
        <f>IFERROR(__xludf.DUMMYFUNCTION("IF(REGEXMATCH(A612, ""^00-""), 0, IF(AND(EQ(F612, """"), NE(G612, """")), 1, 0))"),0.0)</f>
        <v>0</v>
      </c>
      <c r="Q612" s="6">
        <f>IFERROR(__xludf.DUMMYFUNCTION("IF(REGEXMATCH(A612, ""^00-""), 0, IF(AND(NE(F612, """"), NE(G612, """")), 1, 0))"),0.0)</f>
        <v>0</v>
      </c>
      <c r="R612" s="6">
        <f t="shared" si="1"/>
        <v>1</v>
      </c>
    </row>
    <row r="613">
      <c r="A613" s="1" t="s">
        <v>84</v>
      </c>
      <c r="B613" s="1" t="s">
        <v>1754</v>
      </c>
      <c r="C613" s="1">
        <v>426.0</v>
      </c>
      <c r="D613" s="1">
        <v>106.0</v>
      </c>
      <c r="E613" s="1">
        <v>532.0</v>
      </c>
      <c r="F613" s="1" t="s">
        <v>1755</v>
      </c>
      <c r="G613" s="1" t="s">
        <v>1756</v>
      </c>
      <c r="H613" s="1" t="s">
        <v>269</v>
      </c>
      <c r="I613" s="1" t="s">
        <v>172</v>
      </c>
      <c r="J613" s="1" t="s">
        <v>1586</v>
      </c>
      <c r="K613" s="1" t="s">
        <v>1468</v>
      </c>
      <c r="L613" s="1" t="b">
        <v>1</v>
      </c>
      <c r="M613" s="1" t="s">
        <v>1754</v>
      </c>
      <c r="N613" s="6">
        <f>IFERROR(__xludf.DUMMYFUNCTION("IF(REGEXMATCH(A613, ""^00-""), 0, IF(AND(EQ(F613, """"), EQ(G613, """")), 1, 0))"),0.0)</f>
        <v>0</v>
      </c>
      <c r="O613" s="6">
        <f>IFERROR(__xludf.DUMMYFUNCTION("IF(REGEXMATCH(A613, ""^00-""), 0, IF(AND(NE(F613, """"), EQ(G613, """")), 1, 0))"),0.0)</f>
        <v>0</v>
      </c>
      <c r="P613" s="6">
        <f>IFERROR(__xludf.DUMMYFUNCTION("IF(REGEXMATCH(A613, ""^00-""), 0, IF(AND(EQ(F613, """"), NE(G613, """")), 1, 0))"),0.0)</f>
        <v>0</v>
      </c>
      <c r="Q613" s="6">
        <f>IFERROR(__xludf.DUMMYFUNCTION("IF(REGEXMATCH(A613, ""^00-""), 0, IF(AND(NE(F613, """"), NE(G613, """")), 1, 0))"),1.0)</f>
        <v>1</v>
      </c>
      <c r="R613" s="6">
        <f t="shared" si="1"/>
        <v>1</v>
      </c>
    </row>
    <row r="614">
      <c r="A614" s="1" t="s">
        <v>84</v>
      </c>
      <c r="B614" s="1" t="s">
        <v>1757</v>
      </c>
      <c r="C614" s="1">
        <v>426.0</v>
      </c>
      <c r="D614" s="1">
        <v>106.0</v>
      </c>
      <c r="E614" s="1">
        <v>532.0</v>
      </c>
      <c r="F614" s="1" t="s">
        <v>1758</v>
      </c>
      <c r="G614" s="1" t="s">
        <v>1759</v>
      </c>
      <c r="H614" s="1" t="s">
        <v>182</v>
      </c>
      <c r="I614" s="1" t="s">
        <v>172</v>
      </c>
      <c r="J614" s="1" t="s">
        <v>1586</v>
      </c>
      <c r="K614" s="1" t="s">
        <v>1468</v>
      </c>
      <c r="L614" s="1" t="b">
        <v>1</v>
      </c>
      <c r="M614" s="1" t="s">
        <v>185</v>
      </c>
      <c r="N614" s="6">
        <f>IFERROR(__xludf.DUMMYFUNCTION("IF(REGEXMATCH(A614, ""^00-""), 0, IF(AND(EQ(F614, """"), EQ(G614, """")), 1, 0))"),0.0)</f>
        <v>0</v>
      </c>
      <c r="O614" s="6">
        <f>IFERROR(__xludf.DUMMYFUNCTION("IF(REGEXMATCH(A614, ""^00-""), 0, IF(AND(NE(F614, """"), EQ(G614, """")), 1, 0))"),0.0)</f>
        <v>0</v>
      </c>
      <c r="P614" s="6">
        <f>IFERROR(__xludf.DUMMYFUNCTION("IF(REGEXMATCH(A614, ""^00-""), 0, IF(AND(EQ(F614, """"), NE(G614, """")), 1, 0))"),0.0)</f>
        <v>0</v>
      </c>
      <c r="Q614" s="6">
        <f>IFERROR(__xludf.DUMMYFUNCTION("IF(REGEXMATCH(A614, ""^00-""), 0, IF(AND(NE(F614, """"), NE(G614, """")), 1, 0))"),1.0)</f>
        <v>1</v>
      </c>
      <c r="R614" s="6">
        <f t="shared" si="1"/>
        <v>1</v>
      </c>
    </row>
    <row r="615">
      <c r="A615" s="1" t="s">
        <v>84</v>
      </c>
      <c r="B615" s="1" t="s">
        <v>1760</v>
      </c>
      <c r="C615" s="1">
        <v>298.0</v>
      </c>
      <c r="D615" s="1">
        <v>234.0</v>
      </c>
      <c r="E615" s="1">
        <v>532.0</v>
      </c>
      <c r="F615" s="1"/>
      <c r="G615" s="1" t="s">
        <v>1761</v>
      </c>
      <c r="H615" s="1" t="s">
        <v>269</v>
      </c>
      <c r="I615" s="1" t="s">
        <v>172</v>
      </c>
      <c r="J615" s="1" t="s">
        <v>1586</v>
      </c>
      <c r="K615" s="1" t="s">
        <v>1468</v>
      </c>
      <c r="L615" s="1" t="b">
        <v>1</v>
      </c>
      <c r="M615" s="1" t="s">
        <v>1666</v>
      </c>
      <c r="N615" s="6">
        <f>IFERROR(__xludf.DUMMYFUNCTION("IF(REGEXMATCH(A615, ""^00-""), 0, IF(AND(EQ(F615, """"), EQ(G615, """")), 1, 0))"),0.0)</f>
        <v>0</v>
      </c>
      <c r="O615" s="6">
        <f>IFERROR(__xludf.DUMMYFUNCTION("IF(REGEXMATCH(A615, ""^00-""), 0, IF(AND(NE(F615, """"), EQ(G615, """")), 1, 0))"),0.0)</f>
        <v>0</v>
      </c>
      <c r="P615" s="6">
        <f>IFERROR(__xludf.DUMMYFUNCTION("IF(REGEXMATCH(A615, ""^00-""), 0, IF(AND(EQ(F615, """"), NE(G615, """")), 1, 0))"),1.0)</f>
        <v>1</v>
      </c>
      <c r="Q615" s="6">
        <f>IFERROR(__xludf.DUMMYFUNCTION("IF(REGEXMATCH(A615, ""^00-""), 0, IF(AND(NE(F615, """"), NE(G615, """")), 1, 0))"),0.0)</f>
        <v>0</v>
      </c>
      <c r="R615" s="6">
        <f t="shared" si="1"/>
        <v>1</v>
      </c>
    </row>
    <row r="616">
      <c r="A616" s="1" t="s">
        <v>84</v>
      </c>
      <c r="B616" s="1" t="s">
        <v>1733</v>
      </c>
      <c r="C616" s="1">
        <v>426.0</v>
      </c>
      <c r="D616" s="1">
        <v>106.0</v>
      </c>
      <c r="E616" s="1">
        <v>532.0</v>
      </c>
      <c r="F616" s="1" t="s">
        <v>1734</v>
      </c>
      <c r="G616" s="1" t="s">
        <v>1735</v>
      </c>
      <c r="H616" s="1" t="s">
        <v>269</v>
      </c>
      <c r="I616" s="1" t="s">
        <v>172</v>
      </c>
      <c r="J616" s="1" t="s">
        <v>1586</v>
      </c>
      <c r="K616" s="1" t="s">
        <v>1468</v>
      </c>
      <c r="L616" s="1" t="b">
        <v>1</v>
      </c>
      <c r="M616" s="1" t="s">
        <v>1733</v>
      </c>
      <c r="N616" s="6">
        <f>IFERROR(__xludf.DUMMYFUNCTION("IF(REGEXMATCH(A616, ""^00-""), 0, IF(AND(EQ(F616, """"), EQ(G616, """")), 1, 0))"),0.0)</f>
        <v>0</v>
      </c>
      <c r="O616" s="6">
        <f>IFERROR(__xludf.DUMMYFUNCTION("IF(REGEXMATCH(A616, ""^00-""), 0, IF(AND(NE(F616, """"), EQ(G616, """")), 1, 0))"),0.0)</f>
        <v>0</v>
      </c>
      <c r="P616" s="6">
        <f>IFERROR(__xludf.DUMMYFUNCTION("IF(REGEXMATCH(A616, ""^00-""), 0, IF(AND(EQ(F616, """"), NE(G616, """")), 1, 0))"),0.0)</f>
        <v>0</v>
      </c>
      <c r="Q616" s="6">
        <f>IFERROR(__xludf.DUMMYFUNCTION("IF(REGEXMATCH(A616, ""^00-""), 0, IF(AND(NE(F616, """"), NE(G616, """")), 1, 0))"),1.0)</f>
        <v>1</v>
      </c>
      <c r="R616" s="6">
        <f t="shared" si="1"/>
        <v>1</v>
      </c>
    </row>
    <row r="617">
      <c r="A617" s="1" t="s">
        <v>84</v>
      </c>
      <c r="B617" s="1" t="s">
        <v>1762</v>
      </c>
      <c r="C617" s="1">
        <v>21.0</v>
      </c>
      <c r="D617" s="1">
        <v>511.0</v>
      </c>
      <c r="E617" s="1">
        <v>532.0</v>
      </c>
      <c r="F617" s="1" t="s">
        <v>1763</v>
      </c>
      <c r="G617" s="1"/>
      <c r="H617" s="1" t="s">
        <v>190</v>
      </c>
      <c r="I617" s="1" t="s">
        <v>172</v>
      </c>
      <c r="J617" s="1" t="s">
        <v>1586</v>
      </c>
      <c r="K617" s="1" t="s">
        <v>1468</v>
      </c>
      <c r="L617" s="1" t="b">
        <v>1</v>
      </c>
      <c r="M617" s="1" t="s">
        <v>191</v>
      </c>
      <c r="N617" s="6">
        <f>IFERROR(__xludf.DUMMYFUNCTION("IF(REGEXMATCH(A617, ""^00-""), 0, IF(AND(EQ(F617, """"), EQ(G617, """")), 1, 0))"),0.0)</f>
        <v>0</v>
      </c>
      <c r="O617" s="6">
        <f>IFERROR(__xludf.DUMMYFUNCTION("IF(REGEXMATCH(A617, ""^00-""), 0, IF(AND(NE(F617, """"), EQ(G617, """")), 1, 0))"),1.0)</f>
        <v>1</v>
      </c>
      <c r="P617" s="6">
        <f>IFERROR(__xludf.DUMMYFUNCTION("IF(REGEXMATCH(A617, ""^00-""), 0, IF(AND(EQ(F617, """"), NE(G617, """")), 1, 0))"),0.0)</f>
        <v>0</v>
      </c>
      <c r="Q617" s="6">
        <f>IFERROR(__xludf.DUMMYFUNCTION("IF(REGEXMATCH(A617, ""^00-""), 0, IF(AND(NE(F617, """"), NE(G617, """")), 1, 0))"),0.0)</f>
        <v>0</v>
      </c>
      <c r="R617" s="6">
        <f t="shared" si="1"/>
        <v>1</v>
      </c>
    </row>
    <row r="618">
      <c r="A618" s="1" t="s">
        <v>84</v>
      </c>
      <c r="B618" s="1" t="s">
        <v>1764</v>
      </c>
      <c r="C618" s="1">
        <v>19.0</v>
      </c>
      <c r="D618" s="1">
        <v>513.0</v>
      </c>
      <c r="E618" s="1">
        <v>532.0</v>
      </c>
      <c r="F618" s="1" t="s">
        <v>1765</v>
      </c>
      <c r="G618" s="1"/>
      <c r="H618" s="1" t="s">
        <v>190</v>
      </c>
      <c r="I618" s="1" t="s">
        <v>172</v>
      </c>
      <c r="J618" s="1" t="s">
        <v>1586</v>
      </c>
      <c r="K618" s="1" t="s">
        <v>1468</v>
      </c>
      <c r="L618" s="1" t="b">
        <v>1</v>
      </c>
      <c r="M618" s="1" t="s">
        <v>191</v>
      </c>
      <c r="N618" s="6">
        <f>IFERROR(__xludf.DUMMYFUNCTION("IF(REGEXMATCH(A618, ""^00-""), 0, IF(AND(EQ(F618, """"), EQ(G618, """")), 1, 0))"),0.0)</f>
        <v>0</v>
      </c>
      <c r="O618" s="6">
        <f>IFERROR(__xludf.DUMMYFUNCTION("IF(REGEXMATCH(A618, ""^00-""), 0, IF(AND(NE(F618, """"), EQ(G618, """")), 1, 0))"),1.0)</f>
        <v>1</v>
      </c>
      <c r="P618" s="6">
        <f>IFERROR(__xludf.DUMMYFUNCTION("IF(REGEXMATCH(A618, ""^00-""), 0, IF(AND(EQ(F618, """"), NE(G618, """")), 1, 0))"),0.0)</f>
        <v>0</v>
      </c>
      <c r="Q618" s="6">
        <f>IFERROR(__xludf.DUMMYFUNCTION("IF(REGEXMATCH(A618, ""^00-""), 0, IF(AND(NE(F618, """"), NE(G618, """")), 1, 0))"),0.0)</f>
        <v>0</v>
      </c>
      <c r="R618" s="6">
        <f t="shared" si="1"/>
        <v>1</v>
      </c>
    </row>
    <row r="619">
      <c r="A619" s="1" t="s">
        <v>84</v>
      </c>
      <c r="B619" s="1" t="s">
        <v>1766</v>
      </c>
      <c r="C619" s="1">
        <v>298.0</v>
      </c>
      <c r="D619" s="1">
        <v>234.0</v>
      </c>
      <c r="E619" s="1">
        <v>532.0</v>
      </c>
      <c r="F619" s="1"/>
      <c r="G619" s="1" t="s">
        <v>1767</v>
      </c>
      <c r="H619" s="1" t="s">
        <v>190</v>
      </c>
      <c r="I619" s="1" t="s">
        <v>172</v>
      </c>
      <c r="J619" s="1" t="s">
        <v>1586</v>
      </c>
      <c r="K619" s="1" t="s">
        <v>1468</v>
      </c>
      <c r="L619" s="1" t="b">
        <v>1</v>
      </c>
      <c r="M619" s="1" t="s">
        <v>191</v>
      </c>
      <c r="N619" s="6">
        <f>IFERROR(__xludf.DUMMYFUNCTION("IF(REGEXMATCH(A619, ""^00-""), 0, IF(AND(EQ(F619, """"), EQ(G619, """")), 1, 0))"),0.0)</f>
        <v>0</v>
      </c>
      <c r="O619" s="6">
        <f>IFERROR(__xludf.DUMMYFUNCTION("IF(REGEXMATCH(A619, ""^00-""), 0, IF(AND(NE(F619, """"), EQ(G619, """")), 1, 0))"),0.0)</f>
        <v>0</v>
      </c>
      <c r="P619" s="6">
        <f>IFERROR(__xludf.DUMMYFUNCTION("IF(REGEXMATCH(A619, ""^00-""), 0, IF(AND(EQ(F619, """"), NE(G619, """")), 1, 0))"),1.0)</f>
        <v>1</v>
      </c>
      <c r="Q619" s="6">
        <f>IFERROR(__xludf.DUMMYFUNCTION("IF(REGEXMATCH(A619, ""^00-""), 0, IF(AND(NE(F619, """"), NE(G619, """")), 1, 0))"),0.0)</f>
        <v>0</v>
      </c>
      <c r="R619" s="6">
        <f t="shared" si="1"/>
        <v>1</v>
      </c>
    </row>
    <row r="620">
      <c r="A620" s="1" t="s">
        <v>84</v>
      </c>
      <c r="B620" s="1" t="s">
        <v>1768</v>
      </c>
      <c r="C620" s="1">
        <v>298.0</v>
      </c>
      <c r="D620" s="1">
        <v>234.0</v>
      </c>
      <c r="E620" s="1">
        <v>532.0</v>
      </c>
      <c r="F620" s="1"/>
      <c r="G620" s="1" t="s">
        <v>1769</v>
      </c>
      <c r="H620" s="1" t="s">
        <v>190</v>
      </c>
      <c r="I620" s="1" t="s">
        <v>172</v>
      </c>
      <c r="J620" s="1" t="s">
        <v>1586</v>
      </c>
      <c r="K620" s="1" t="s">
        <v>1468</v>
      </c>
      <c r="L620" s="1" t="b">
        <v>1</v>
      </c>
      <c r="M620" s="1" t="s">
        <v>191</v>
      </c>
      <c r="N620" s="6">
        <f>IFERROR(__xludf.DUMMYFUNCTION("IF(REGEXMATCH(A620, ""^00-""), 0, IF(AND(EQ(F620, """"), EQ(G620, """")), 1, 0))"),0.0)</f>
        <v>0</v>
      </c>
      <c r="O620" s="6">
        <f>IFERROR(__xludf.DUMMYFUNCTION("IF(REGEXMATCH(A620, ""^00-""), 0, IF(AND(NE(F620, """"), EQ(G620, """")), 1, 0))"),0.0)</f>
        <v>0</v>
      </c>
      <c r="P620" s="6">
        <f>IFERROR(__xludf.DUMMYFUNCTION("IF(REGEXMATCH(A620, ""^00-""), 0, IF(AND(EQ(F620, """"), NE(G620, """")), 1, 0))"),1.0)</f>
        <v>1</v>
      </c>
      <c r="Q620" s="6">
        <f>IFERROR(__xludf.DUMMYFUNCTION("IF(REGEXMATCH(A620, ""^00-""), 0, IF(AND(NE(F620, """"), NE(G620, """")), 1, 0))"),0.0)</f>
        <v>0</v>
      </c>
      <c r="R620" s="6">
        <f t="shared" si="1"/>
        <v>1</v>
      </c>
    </row>
    <row r="621">
      <c r="A621" s="1" t="s">
        <v>84</v>
      </c>
      <c r="B621" s="1" t="s">
        <v>1770</v>
      </c>
      <c r="C621" s="1">
        <v>296.0</v>
      </c>
      <c r="D621" s="1">
        <v>236.0</v>
      </c>
      <c r="E621" s="1">
        <v>532.0</v>
      </c>
      <c r="F621" s="1"/>
      <c r="G621" s="1" t="s">
        <v>1771</v>
      </c>
      <c r="H621" s="1" t="s">
        <v>269</v>
      </c>
      <c r="I621" s="1" t="s">
        <v>172</v>
      </c>
      <c r="J621" s="1" t="s">
        <v>1586</v>
      </c>
      <c r="K621" s="1" t="s">
        <v>1468</v>
      </c>
      <c r="L621" s="1" t="b">
        <v>1</v>
      </c>
      <c r="M621" s="1" t="s">
        <v>1772</v>
      </c>
      <c r="N621" s="6">
        <f>IFERROR(__xludf.DUMMYFUNCTION("IF(REGEXMATCH(A621, ""^00-""), 0, IF(AND(EQ(F621, """"), EQ(G621, """")), 1, 0))"),0.0)</f>
        <v>0</v>
      </c>
      <c r="O621" s="6">
        <f>IFERROR(__xludf.DUMMYFUNCTION("IF(REGEXMATCH(A621, ""^00-""), 0, IF(AND(NE(F621, """"), EQ(G621, """")), 1, 0))"),0.0)</f>
        <v>0</v>
      </c>
      <c r="P621" s="6">
        <f>IFERROR(__xludf.DUMMYFUNCTION("IF(REGEXMATCH(A621, ""^00-""), 0, IF(AND(EQ(F621, """"), NE(G621, """")), 1, 0))"),1.0)</f>
        <v>1</v>
      </c>
      <c r="Q621" s="6">
        <f>IFERROR(__xludf.DUMMYFUNCTION("IF(REGEXMATCH(A621, ""^00-""), 0, IF(AND(NE(F621, """"), NE(G621, """")), 1, 0))"),0.0)</f>
        <v>0</v>
      </c>
      <c r="R621" s="6">
        <f t="shared" si="1"/>
        <v>1</v>
      </c>
    </row>
    <row r="622">
      <c r="A622" s="1" t="s">
        <v>84</v>
      </c>
      <c r="B622" s="1" t="s">
        <v>1773</v>
      </c>
      <c r="C622" s="1">
        <v>298.0</v>
      </c>
      <c r="D622" s="1">
        <v>234.0</v>
      </c>
      <c r="E622" s="1">
        <v>532.0</v>
      </c>
      <c r="F622" s="1"/>
      <c r="G622" s="1" t="s">
        <v>1774</v>
      </c>
      <c r="H622" s="1" t="s">
        <v>190</v>
      </c>
      <c r="I622" s="1" t="s">
        <v>172</v>
      </c>
      <c r="J622" s="1" t="s">
        <v>1586</v>
      </c>
      <c r="K622" s="1" t="s">
        <v>1468</v>
      </c>
      <c r="L622" s="1" t="b">
        <v>1</v>
      </c>
      <c r="M622" s="1" t="s">
        <v>191</v>
      </c>
      <c r="N622" s="6">
        <f>IFERROR(__xludf.DUMMYFUNCTION("IF(REGEXMATCH(A622, ""^00-""), 0, IF(AND(EQ(F622, """"), EQ(G622, """")), 1, 0))"),0.0)</f>
        <v>0</v>
      </c>
      <c r="O622" s="6">
        <f>IFERROR(__xludf.DUMMYFUNCTION("IF(REGEXMATCH(A622, ""^00-""), 0, IF(AND(NE(F622, """"), EQ(G622, """")), 1, 0))"),0.0)</f>
        <v>0</v>
      </c>
      <c r="P622" s="6">
        <f>IFERROR(__xludf.DUMMYFUNCTION("IF(REGEXMATCH(A622, ""^00-""), 0, IF(AND(EQ(F622, """"), NE(G622, """")), 1, 0))"),1.0)</f>
        <v>1</v>
      </c>
      <c r="Q622" s="6">
        <f>IFERROR(__xludf.DUMMYFUNCTION("IF(REGEXMATCH(A622, ""^00-""), 0, IF(AND(NE(F622, """"), NE(G622, """")), 1, 0))"),0.0)</f>
        <v>0</v>
      </c>
      <c r="R622" s="6">
        <f t="shared" si="1"/>
        <v>1</v>
      </c>
    </row>
    <row r="623">
      <c r="A623" s="1" t="s">
        <v>84</v>
      </c>
      <c r="B623" s="1" t="s">
        <v>1775</v>
      </c>
      <c r="C623" s="1">
        <v>298.0</v>
      </c>
      <c r="D623" s="1">
        <v>234.0</v>
      </c>
      <c r="E623" s="1">
        <v>532.0</v>
      </c>
      <c r="F623" s="1"/>
      <c r="G623" s="1" t="s">
        <v>1776</v>
      </c>
      <c r="H623" s="1" t="s">
        <v>269</v>
      </c>
      <c r="I623" s="1" t="s">
        <v>172</v>
      </c>
      <c r="J623" s="1" t="s">
        <v>1586</v>
      </c>
      <c r="K623" s="1" t="s">
        <v>1468</v>
      </c>
      <c r="L623" s="1" t="b">
        <v>1</v>
      </c>
      <c r="M623" s="1" t="s">
        <v>1777</v>
      </c>
      <c r="N623" s="6">
        <f>IFERROR(__xludf.DUMMYFUNCTION("IF(REGEXMATCH(A623, ""^00-""), 0, IF(AND(EQ(F623, """"), EQ(G623, """")), 1, 0))"),0.0)</f>
        <v>0</v>
      </c>
      <c r="O623" s="6">
        <f>IFERROR(__xludf.DUMMYFUNCTION("IF(REGEXMATCH(A623, ""^00-""), 0, IF(AND(NE(F623, """"), EQ(G623, """")), 1, 0))"),0.0)</f>
        <v>0</v>
      </c>
      <c r="P623" s="6">
        <f>IFERROR(__xludf.DUMMYFUNCTION("IF(REGEXMATCH(A623, ""^00-""), 0, IF(AND(EQ(F623, """"), NE(G623, """")), 1, 0))"),1.0)</f>
        <v>1</v>
      </c>
      <c r="Q623" s="6">
        <f>IFERROR(__xludf.DUMMYFUNCTION("IF(REGEXMATCH(A623, ""^00-""), 0, IF(AND(NE(F623, """"), NE(G623, """")), 1, 0))"),0.0)</f>
        <v>0</v>
      </c>
      <c r="R623" s="6">
        <f t="shared" si="1"/>
        <v>1</v>
      </c>
    </row>
    <row r="624">
      <c r="A624" s="1" t="s">
        <v>84</v>
      </c>
      <c r="B624" s="1" t="s">
        <v>1778</v>
      </c>
      <c r="C624" s="1">
        <v>298.0</v>
      </c>
      <c r="D624" s="1">
        <v>234.0</v>
      </c>
      <c r="E624" s="1">
        <v>532.0</v>
      </c>
      <c r="F624" s="1"/>
      <c r="G624" s="1" t="s">
        <v>1779</v>
      </c>
      <c r="H624" s="1" t="s">
        <v>269</v>
      </c>
      <c r="I624" s="1" t="s">
        <v>172</v>
      </c>
      <c r="J624" s="1" t="s">
        <v>1586</v>
      </c>
      <c r="K624" s="1" t="s">
        <v>1468</v>
      </c>
      <c r="L624" s="1" t="b">
        <v>1</v>
      </c>
      <c r="M624" s="1" t="s">
        <v>1777</v>
      </c>
      <c r="N624" s="6">
        <f>IFERROR(__xludf.DUMMYFUNCTION("IF(REGEXMATCH(A624, ""^00-""), 0, IF(AND(EQ(F624, """"), EQ(G624, """")), 1, 0))"),0.0)</f>
        <v>0</v>
      </c>
      <c r="O624" s="6">
        <f>IFERROR(__xludf.DUMMYFUNCTION("IF(REGEXMATCH(A624, ""^00-""), 0, IF(AND(NE(F624, """"), EQ(G624, """")), 1, 0))"),0.0)</f>
        <v>0</v>
      </c>
      <c r="P624" s="6">
        <f>IFERROR(__xludf.DUMMYFUNCTION("IF(REGEXMATCH(A624, ""^00-""), 0, IF(AND(EQ(F624, """"), NE(G624, """")), 1, 0))"),1.0)</f>
        <v>1</v>
      </c>
      <c r="Q624" s="6">
        <f>IFERROR(__xludf.DUMMYFUNCTION("IF(REGEXMATCH(A624, ""^00-""), 0, IF(AND(NE(F624, """"), NE(G624, """")), 1, 0))"),0.0)</f>
        <v>0</v>
      </c>
      <c r="R624" s="6">
        <f t="shared" si="1"/>
        <v>1</v>
      </c>
    </row>
    <row r="625">
      <c r="A625" s="1" t="s">
        <v>84</v>
      </c>
      <c r="B625" s="1" t="s">
        <v>1780</v>
      </c>
      <c r="C625" s="1">
        <v>298.0</v>
      </c>
      <c r="D625" s="1">
        <v>234.0</v>
      </c>
      <c r="E625" s="1">
        <v>532.0</v>
      </c>
      <c r="F625" s="1"/>
      <c r="G625" s="1" t="s">
        <v>1781</v>
      </c>
      <c r="H625" s="1" t="s">
        <v>269</v>
      </c>
      <c r="I625" s="1" t="s">
        <v>172</v>
      </c>
      <c r="J625" s="1" t="s">
        <v>1586</v>
      </c>
      <c r="K625" s="1" t="s">
        <v>1468</v>
      </c>
      <c r="L625" s="1" t="b">
        <v>1</v>
      </c>
      <c r="M625" s="1" t="s">
        <v>1777</v>
      </c>
      <c r="N625" s="6">
        <f>IFERROR(__xludf.DUMMYFUNCTION("IF(REGEXMATCH(A625, ""^00-""), 0, IF(AND(EQ(F625, """"), EQ(G625, """")), 1, 0))"),0.0)</f>
        <v>0</v>
      </c>
      <c r="O625" s="6">
        <f>IFERROR(__xludf.DUMMYFUNCTION("IF(REGEXMATCH(A625, ""^00-""), 0, IF(AND(NE(F625, """"), EQ(G625, """")), 1, 0))"),0.0)</f>
        <v>0</v>
      </c>
      <c r="P625" s="6">
        <f>IFERROR(__xludf.DUMMYFUNCTION("IF(REGEXMATCH(A625, ""^00-""), 0, IF(AND(EQ(F625, """"), NE(G625, """")), 1, 0))"),1.0)</f>
        <v>1</v>
      </c>
      <c r="Q625" s="6">
        <f>IFERROR(__xludf.DUMMYFUNCTION("IF(REGEXMATCH(A625, ""^00-""), 0, IF(AND(NE(F625, """"), NE(G625, """")), 1, 0))"),0.0)</f>
        <v>0</v>
      </c>
      <c r="R625" s="6">
        <f t="shared" si="1"/>
        <v>1</v>
      </c>
    </row>
    <row r="626">
      <c r="A626" s="1" t="s">
        <v>84</v>
      </c>
      <c r="B626" s="1" t="s">
        <v>1782</v>
      </c>
      <c r="C626" s="1">
        <v>298.0</v>
      </c>
      <c r="D626" s="1">
        <v>234.0</v>
      </c>
      <c r="E626" s="1">
        <v>532.0</v>
      </c>
      <c r="F626" s="1"/>
      <c r="G626" s="1" t="s">
        <v>1783</v>
      </c>
      <c r="H626" s="1" t="s">
        <v>269</v>
      </c>
      <c r="I626" s="1" t="s">
        <v>172</v>
      </c>
      <c r="J626" s="1" t="s">
        <v>1586</v>
      </c>
      <c r="K626" s="1" t="s">
        <v>1468</v>
      </c>
      <c r="L626" s="1" t="b">
        <v>1</v>
      </c>
      <c r="M626" s="1" t="s">
        <v>1777</v>
      </c>
      <c r="N626" s="6">
        <f>IFERROR(__xludf.DUMMYFUNCTION("IF(REGEXMATCH(A626, ""^00-""), 0, IF(AND(EQ(F626, """"), EQ(G626, """")), 1, 0))"),0.0)</f>
        <v>0</v>
      </c>
      <c r="O626" s="6">
        <f>IFERROR(__xludf.DUMMYFUNCTION("IF(REGEXMATCH(A626, ""^00-""), 0, IF(AND(NE(F626, """"), EQ(G626, """")), 1, 0))"),0.0)</f>
        <v>0</v>
      </c>
      <c r="P626" s="6">
        <f>IFERROR(__xludf.DUMMYFUNCTION("IF(REGEXMATCH(A626, ""^00-""), 0, IF(AND(EQ(F626, """"), NE(G626, """")), 1, 0))"),1.0)</f>
        <v>1</v>
      </c>
      <c r="Q626" s="6">
        <f>IFERROR(__xludf.DUMMYFUNCTION("IF(REGEXMATCH(A626, ""^00-""), 0, IF(AND(NE(F626, """"), NE(G626, """")), 1, 0))"),0.0)</f>
        <v>0</v>
      </c>
      <c r="R626" s="6">
        <f t="shared" si="1"/>
        <v>1</v>
      </c>
    </row>
    <row r="627">
      <c r="A627" s="1" t="s">
        <v>84</v>
      </c>
      <c r="B627" s="1" t="s">
        <v>1784</v>
      </c>
      <c r="C627" s="1">
        <v>298.0</v>
      </c>
      <c r="D627" s="1">
        <v>234.0</v>
      </c>
      <c r="E627" s="1">
        <v>532.0</v>
      </c>
      <c r="F627" s="1"/>
      <c r="G627" s="1" t="s">
        <v>1785</v>
      </c>
      <c r="H627" s="1" t="s">
        <v>269</v>
      </c>
      <c r="I627" s="1" t="s">
        <v>172</v>
      </c>
      <c r="J627" s="1" t="s">
        <v>1586</v>
      </c>
      <c r="K627" s="1" t="s">
        <v>1468</v>
      </c>
      <c r="L627" s="1" t="b">
        <v>1</v>
      </c>
      <c r="M627" s="1" t="s">
        <v>1777</v>
      </c>
      <c r="N627" s="6">
        <f>IFERROR(__xludf.DUMMYFUNCTION("IF(REGEXMATCH(A627, ""^00-""), 0, IF(AND(EQ(F627, """"), EQ(G627, """")), 1, 0))"),0.0)</f>
        <v>0</v>
      </c>
      <c r="O627" s="6">
        <f>IFERROR(__xludf.DUMMYFUNCTION("IF(REGEXMATCH(A627, ""^00-""), 0, IF(AND(NE(F627, """"), EQ(G627, """")), 1, 0))"),0.0)</f>
        <v>0</v>
      </c>
      <c r="P627" s="6">
        <f>IFERROR(__xludf.DUMMYFUNCTION("IF(REGEXMATCH(A627, ""^00-""), 0, IF(AND(EQ(F627, """"), NE(G627, """")), 1, 0))"),1.0)</f>
        <v>1</v>
      </c>
      <c r="Q627" s="6">
        <f>IFERROR(__xludf.DUMMYFUNCTION("IF(REGEXMATCH(A627, ""^00-""), 0, IF(AND(NE(F627, """"), NE(G627, """")), 1, 0))"),0.0)</f>
        <v>0</v>
      </c>
      <c r="R627" s="6">
        <f t="shared" si="1"/>
        <v>1</v>
      </c>
    </row>
    <row r="628">
      <c r="A628" s="1" t="s">
        <v>84</v>
      </c>
      <c r="B628" s="1" t="s">
        <v>1786</v>
      </c>
      <c r="C628" s="1">
        <v>298.0</v>
      </c>
      <c r="D628" s="1">
        <v>234.0</v>
      </c>
      <c r="E628" s="1">
        <v>532.0</v>
      </c>
      <c r="F628" s="1"/>
      <c r="G628" s="1" t="s">
        <v>1787</v>
      </c>
      <c r="H628" s="1" t="s">
        <v>269</v>
      </c>
      <c r="I628" s="1" t="s">
        <v>172</v>
      </c>
      <c r="J628" s="1" t="s">
        <v>1586</v>
      </c>
      <c r="K628" s="1" t="s">
        <v>1468</v>
      </c>
      <c r="L628" s="1" t="b">
        <v>1</v>
      </c>
      <c r="M628" s="1" t="s">
        <v>1777</v>
      </c>
      <c r="N628" s="6">
        <f>IFERROR(__xludf.DUMMYFUNCTION("IF(REGEXMATCH(A628, ""^00-""), 0, IF(AND(EQ(F628, """"), EQ(G628, """")), 1, 0))"),0.0)</f>
        <v>0</v>
      </c>
      <c r="O628" s="6">
        <f>IFERROR(__xludf.DUMMYFUNCTION("IF(REGEXMATCH(A628, ""^00-""), 0, IF(AND(NE(F628, """"), EQ(G628, """")), 1, 0))"),0.0)</f>
        <v>0</v>
      </c>
      <c r="P628" s="6">
        <f>IFERROR(__xludf.DUMMYFUNCTION("IF(REGEXMATCH(A628, ""^00-""), 0, IF(AND(EQ(F628, """"), NE(G628, """")), 1, 0))"),1.0)</f>
        <v>1</v>
      </c>
      <c r="Q628" s="6">
        <f>IFERROR(__xludf.DUMMYFUNCTION("IF(REGEXMATCH(A628, ""^00-""), 0, IF(AND(NE(F628, """"), NE(G628, """")), 1, 0))"),0.0)</f>
        <v>0</v>
      </c>
      <c r="R628" s="6">
        <f t="shared" si="1"/>
        <v>1</v>
      </c>
    </row>
    <row r="629">
      <c r="A629" s="1" t="s">
        <v>84</v>
      </c>
      <c r="B629" s="1" t="s">
        <v>1788</v>
      </c>
      <c r="C629" s="1">
        <v>298.0</v>
      </c>
      <c r="D629" s="1">
        <v>234.0</v>
      </c>
      <c r="E629" s="1">
        <v>532.0</v>
      </c>
      <c r="F629" s="1"/>
      <c r="G629" s="1" t="s">
        <v>1789</v>
      </c>
      <c r="H629" s="1" t="s">
        <v>269</v>
      </c>
      <c r="I629" s="1" t="s">
        <v>172</v>
      </c>
      <c r="J629" s="1" t="s">
        <v>1586</v>
      </c>
      <c r="K629" s="1" t="s">
        <v>1468</v>
      </c>
      <c r="L629" s="1" t="b">
        <v>1</v>
      </c>
      <c r="M629" s="1" t="s">
        <v>1777</v>
      </c>
      <c r="N629" s="6">
        <f>IFERROR(__xludf.DUMMYFUNCTION("IF(REGEXMATCH(A629, ""^00-""), 0, IF(AND(EQ(F629, """"), EQ(G629, """")), 1, 0))"),0.0)</f>
        <v>0</v>
      </c>
      <c r="O629" s="6">
        <f>IFERROR(__xludf.DUMMYFUNCTION("IF(REGEXMATCH(A629, ""^00-""), 0, IF(AND(NE(F629, """"), EQ(G629, """")), 1, 0))"),0.0)</f>
        <v>0</v>
      </c>
      <c r="P629" s="6">
        <f>IFERROR(__xludf.DUMMYFUNCTION("IF(REGEXMATCH(A629, ""^00-""), 0, IF(AND(EQ(F629, """"), NE(G629, """")), 1, 0))"),1.0)</f>
        <v>1</v>
      </c>
      <c r="Q629" s="6">
        <f>IFERROR(__xludf.DUMMYFUNCTION("IF(REGEXMATCH(A629, ""^00-""), 0, IF(AND(NE(F629, """"), NE(G629, """")), 1, 0))"),0.0)</f>
        <v>0</v>
      </c>
      <c r="R629" s="6">
        <f t="shared" si="1"/>
        <v>1</v>
      </c>
    </row>
    <row r="630">
      <c r="A630" s="1" t="s">
        <v>84</v>
      </c>
      <c r="B630" s="1" t="s">
        <v>1790</v>
      </c>
      <c r="C630" s="1">
        <v>298.0</v>
      </c>
      <c r="D630" s="1">
        <v>234.0</v>
      </c>
      <c r="E630" s="1">
        <v>532.0</v>
      </c>
      <c r="F630" s="1"/>
      <c r="G630" s="1" t="s">
        <v>1791</v>
      </c>
      <c r="H630" s="1" t="s">
        <v>269</v>
      </c>
      <c r="I630" s="1" t="s">
        <v>172</v>
      </c>
      <c r="J630" s="1" t="s">
        <v>1586</v>
      </c>
      <c r="K630" s="1" t="s">
        <v>1468</v>
      </c>
      <c r="L630" s="1" t="b">
        <v>1</v>
      </c>
      <c r="M630" s="1" t="s">
        <v>1777</v>
      </c>
      <c r="N630" s="6">
        <f>IFERROR(__xludf.DUMMYFUNCTION("IF(REGEXMATCH(A630, ""^00-""), 0, IF(AND(EQ(F630, """"), EQ(G630, """")), 1, 0))"),0.0)</f>
        <v>0</v>
      </c>
      <c r="O630" s="6">
        <f>IFERROR(__xludf.DUMMYFUNCTION("IF(REGEXMATCH(A630, ""^00-""), 0, IF(AND(NE(F630, """"), EQ(G630, """")), 1, 0))"),0.0)</f>
        <v>0</v>
      </c>
      <c r="P630" s="6">
        <f>IFERROR(__xludf.DUMMYFUNCTION("IF(REGEXMATCH(A630, ""^00-""), 0, IF(AND(EQ(F630, """"), NE(G630, """")), 1, 0))"),1.0)</f>
        <v>1</v>
      </c>
      <c r="Q630" s="6">
        <f>IFERROR(__xludf.DUMMYFUNCTION("IF(REGEXMATCH(A630, ""^00-""), 0, IF(AND(NE(F630, """"), NE(G630, """")), 1, 0))"),0.0)</f>
        <v>0</v>
      </c>
      <c r="R630" s="6">
        <f t="shared" si="1"/>
        <v>1</v>
      </c>
    </row>
    <row r="631">
      <c r="A631" s="1" t="s">
        <v>84</v>
      </c>
      <c r="B631" s="1" t="s">
        <v>1792</v>
      </c>
      <c r="C631" s="1">
        <v>169.0</v>
      </c>
      <c r="D631" s="1">
        <v>363.0</v>
      </c>
      <c r="E631" s="1">
        <v>532.0</v>
      </c>
      <c r="F631" s="1"/>
      <c r="G631" s="1" t="s">
        <v>1793</v>
      </c>
      <c r="H631" s="1" t="s">
        <v>269</v>
      </c>
      <c r="I631" s="1" t="s">
        <v>172</v>
      </c>
      <c r="J631" s="1" t="s">
        <v>1586</v>
      </c>
      <c r="K631" s="1" t="s">
        <v>1468</v>
      </c>
      <c r="L631" s="1" t="b">
        <v>1</v>
      </c>
      <c r="M631" s="1" t="s">
        <v>1794</v>
      </c>
      <c r="N631" s="6">
        <f>IFERROR(__xludf.DUMMYFUNCTION("IF(REGEXMATCH(A631, ""^00-""), 0, IF(AND(EQ(F631, """"), EQ(G631, """")), 1, 0))"),0.0)</f>
        <v>0</v>
      </c>
      <c r="O631" s="6">
        <f>IFERROR(__xludf.DUMMYFUNCTION("IF(REGEXMATCH(A631, ""^00-""), 0, IF(AND(NE(F631, """"), EQ(G631, """")), 1, 0))"),0.0)</f>
        <v>0</v>
      </c>
      <c r="P631" s="6">
        <f>IFERROR(__xludf.DUMMYFUNCTION("IF(REGEXMATCH(A631, ""^00-""), 0, IF(AND(EQ(F631, """"), NE(G631, """")), 1, 0))"),1.0)</f>
        <v>1</v>
      </c>
      <c r="Q631" s="6">
        <f>IFERROR(__xludf.DUMMYFUNCTION("IF(REGEXMATCH(A631, ""^00-""), 0, IF(AND(NE(F631, """"), NE(G631, """")), 1, 0))"),0.0)</f>
        <v>0</v>
      </c>
      <c r="R631" s="6">
        <f t="shared" si="1"/>
        <v>1</v>
      </c>
    </row>
    <row r="632">
      <c r="A632" s="1" t="s">
        <v>84</v>
      </c>
      <c r="B632" s="1" t="s">
        <v>1795</v>
      </c>
      <c r="C632" s="1">
        <v>298.0</v>
      </c>
      <c r="D632" s="1">
        <v>234.0</v>
      </c>
      <c r="E632" s="1">
        <v>532.0</v>
      </c>
      <c r="F632" s="1"/>
      <c r="G632" s="1" t="s">
        <v>1796</v>
      </c>
      <c r="H632" s="1" t="s">
        <v>269</v>
      </c>
      <c r="I632" s="1" t="s">
        <v>172</v>
      </c>
      <c r="J632" s="1" t="s">
        <v>1586</v>
      </c>
      <c r="K632" s="1" t="s">
        <v>1468</v>
      </c>
      <c r="L632" s="1" t="b">
        <v>1</v>
      </c>
      <c r="M632" s="1" t="s">
        <v>1777</v>
      </c>
      <c r="N632" s="6">
        <f>IFERROR(__xludf.DUMMYFUNCTION("IF(REGEXMATCH(A632, ""^00-""), 0, IF(AND(EQ(F632, """"), EQ(G632, """")), 1, 0))"),0.0)</f>
        <v>0</v>
      </c>
      <c r="O632" s="6">
        <f>IFERROR(__xludf.DUMMYFUNCTION("IF(REGEXMATCH(A632, ""^00-""), 0, IF(AND(NE(F632, """"), EQ(G632, """")), 1, 0))"),0.0)</f>
        <v>0</v>
      </c>
      <c r="P632" s="6">
        <f>IFERROR(__xludf.DUMMYFUNCTION("IF(REGEXMATCH(A632, ""^00-""), 0, IF(AND(EQ(F632, """"), NE(G632, """")), 1, 0))"),1.0)</f>
        <v>1</v>
      </c>
      <c r="Q632" s="6">
        <f>IFERROR(__xludf.DUMMYFUNCTION("IF(REGEXMATCH(A632, ""^00-""), 0, IF(AND(NE(F632, """"), NE(G632, """")), 1, 0))"),0.0)</f>
        <v>0</v>
      </c>
      <c r="R632" s="6">
        <f t="shared" si="1"/>
        <v>1</v>
      </c>
    </row>
    <row r="633">
      <c r="A633" s="1" t="s">
        <v>84</v>
      </c>
      <c r="B633" s="1" t="s">
        <v>1797</v>
      </c>
      <c r="C633" s="1">
        <v>298.0</v>
      </c>
      <c r="D633" s="1">
        <v>234.0</v>
      </c>
      <c r="E633" s="1">
        <v>532.0</v>
      </c>
      <c r="F633" s="1"/>
      <c r="G633" s="1" t="s">
        <v>1798</v>
      </c>
      <c r="H633" s="1" t="s">
        <v>269</v>
      </c>
      <c r="I633" s="1" t="s">
        <v>172</v>
      </c>
      <c r="J633" s="1" t="s">
        <v>1586</v>
      </c>
      <c r="K633" s="1" t="s">
        <v>1468</v>
      </c>
      <c r="L633" s="1" t="b">
        <v>1</v>
      </c>
      <c r="M633" s="1" t="s">
        <v>1777</v>
      </c>
      <c r="N633" s="6">
        <f>IFERROR(__xludf.DUMMYFUNCTION("IF(REGEXMATCH(A633, ""^00-""), 0, IF(AND(EQ(F633, """"), EQ(G633, """")), 1, 0))"),0.0)</f>
        <v>0</v>
      </c>
      <c r="O633" s="6">
        <f>IFERROR(__xludf.DUMMYFUNCTION("IF(REGEXMATCH(A633, ""^00-""), 0, IF(AND(NE(F633, """"), EQ(G633, """")), 1, 0))"),0.0)</f>
        <v>0</v>
      </c>
      <c r="P633" s="6">
        <f>IFERROR(__xludf.DUMMYFUNCTION("IF(REGEXMATCH(A633, ""^00-""), 0, IF(AND(EQ(F633, """"), NE(G633, """")), 1, 0))"),1.0)</f>
        <v>1</v>
      </c>
      <c r="Q633" s="6">
        <f>IFERROR(__xludf.DUMMYFUNCTION("IF(REGEXMATCH(A633, ""^00-""), 0, IF(AND(NE(F633, """"), NE(G633, """")), 1, 0))"),0.0)</f>
        <v>0</v>
      </c>
      <c r="R633" s="6">
        <f t="shared" si="1"/>
        <v>1</v>
      </c>
    </row>
    <row r="634">
      <c r="A634" s="1" t="s">
        <v>84</v>
      </c>
      <c r="B634" s="1" t="s">
        <v>1799</v>
      </c>
      <c r="C634" s="1">
        <v>32.0</v>
      </c>
      <c r="D634" s="1">
        <v>500.0</v>
      </c>
      <c r="E634" s="1">
        <v>532.0</v>
      </c>
      <c r="F634" s="1"/>
      <c r="G634" s="1" t="s">
        <v>1800</v>
      </c>
      <c r="H634" s="1" t="s">
        <v>235</v>
      </c>
      <c r="I634" s="1" t="s">
        <v>172</v>
      </c>
      <c r="J634" s="1" t="s">
        <v>1586</v>
      </c>
      <c r="K634" s="1" t="s">
        <v>1468</v>
      </c>
      <c r="L634" s="1" t="b">
        <v>1</v>
      </c>
      <c r="M634" s="1" t="s">
        <v>1801</v>
      </c>
      <c r="N634" s="6">
        <f>IFERROR(__xludf.DUMMYFUNCTION("IF(REGEXMATCH(A634, ""^00-""), 0, IF(AND(EQ(F634, """"), EQ(G634, """")), 1, 0))"),0.0)</f>
        <v>0</v>
      </c>
      <c r="O634" s="6">
        <f>IFERROR(__xludf.DUMMYFUNCTION("IF(REGEXMATCH(A634, ""^00-""), 0, IF(AND(NE(F634, """"), EQ(G634, """")), 1, 0))"),0.0)</f>
        <v>0</v>
      </c>
      <c r="P634" s="6">
        <f>IFERROR(__xludf.DUMMYFUNCTION("IF(REGEXMATCH(A634, ""^00-""), 0, IF(AND(EQ(F634, """"), NE(G634, """")), 1, 0))"),1.0)</f>
        <v>1</v>
      </c>
      <c r="Q634" s="6">
        <f>IFERROR(__xludf.DUMMYFUNCTION("IF(REGEXMATCH(A634, ""^00-""), 0, IF(AND(NE(F634, """"), NE(G634, """")), 1, 0))"),0.0)</f>
        <v>0</v>
      </c>
      <c r="R634" s="6">
        <f t="shared" si="1"/>
        <v>1</v>
      </c>
    </row>
    <row r="635">
      <c r="A635" s="1" t="s">
        <v>84</v>
      </c>
      <c r="B635" s="1" t="s">
        <v>1802</v>
      </c>
      <c r="C635" s="1">
        <v>298.0</v>
      </c>
      <c r="D635" s="1">
        <v>234.0</v>
      </c>
      <c r="E635" s="1">
        <v>532.0</v>
      </c>
      <c r="F635" s="1"/>
      <c r="G635" s="1" t="s">
        <v>1803</v>
      </c>
      <c r="H635" s="1" t="s">
        <v>269</v>
      </c>
      <c r="I635" s="1" t="s">
        <v>172</v>
      </c>
      <c r="J635" s="1" t="s">
        <v>1586</v>
      </c>
      <c r="K635" s="1" t="s">
        <v>1468</v>
      </c>
      <c r="L635" s="1" t="b">
        <v>1</v>
      </c>
      <c r="M635" s="1" t="s">
        <v>1777</v>
      </c>
      <c r="N635" s="6">
        <f>IFERROR(__xludf.DUMMYFUNCTION("IF(REGEXMATCH(A635, ""^00-""), 0, IF(AND(EQ(F635, """"), EQ(G635, """")), 1, 0))"),0.0)</f>
        <v>0</v>
      </c>
      <c r="O635" s="6">
        <f>IFERROR(__xludf.DUMMYFUNCTION("IF(REGEXMATCH(A635, ""^00-""), 0, IF(AND(NE(F635, """"), EQ(G635, """")), 1, 0))"),0.0)</f>
        <v>0</v>
      </c>
      <c r="P635" s="6">
        <f>IFERROR(__xludf.DUMMYFUNCTION("IF(REGEXMATCH(A635, ""^00-""), 0, IF(AND(EQ(F635, """"), NE(G635, """")), 1, 0))"),1.0)</f>
        <v>1</v>
      </c>
      <c r="Q635" s="6">
        <f>IFERROR(__xludf.DUMMYFUNCTION("IF(REGEXMATCH(A635, ""^00-""), 0, IF(AND(NE(F635, """"), NE(G635, """")), 1, 0))"),0.0)</f>
        <v>0</v>
      </c>
      <c r="R635" s="6">
        <f t="shared" si="1"/>
        <v>1</v>
      </c>
    </row>
    <row r="636">
      <c r="A636" s="1" t="s">
        <v>84</v>
      </c>
      <c r="B636" s="1" t="s">
        <v>1804</v>
      </c>
      <c r="C636" s="1">
        <v>298.0</v>
      </c>
      <c r="D636" s="1">
        <v>234.0</v>
      </c>
      <c r="E636" s="1">
        <v>532.0</v>
      </c>
      <c r="F636" s="1"/>
      <c r="G636" s="1" t="s">
        <v>1805</v>
      </c>
      <c r="H636" s="1" t="s">
        <v>269</v>
      </c>
      <c r="I636" s="1" t="s">
        <v>172</v>
      </c>
      <c r="J636" s="1" t="s">
        <v>1586</v>
      </c>
      <c r="K636" s="1" t="s">
        <v>1468</v>
      </c>
      <c r="L636" s="1" t="b">
        <v>1</v>
      </c>
      <c r="M636" s="1" t="s">
        <v>1777</v>
      </c>
      <c r="N636" s="6">
        <f>IFERROR(__xludf.DUMMYFUNCTION("IF(REGEXMATCH(A636, ""^00-""), 0, IF(AND(EQ(F636, """"), EQ(G636, """")), 1, 0))"),0.0)</f>
        <v>0</v>
      </c>
      <c r="O636" s="6">
        <f>IFERROR(__xludf.DUMMYFUNCTION("IF(REGEXMATCH(A636, ""^00-""), 0, IF(AND(NE(F636, """"), EQ(G636, """")), 1, 0))"),0.0)</f>
        <v>0</v>
      </c>
      <c r="P636" s="6">
        <f>IFERROR(__xludf.DUMMYFUNCTION("IF(REGEXMATCH(A636, ""^00-""), 0, IF(AND(EQ(F636, """"), NE(G636, """")), 1, 0))"),1.0)</f>
        <v>1</v>
      </c>
      <c r="Q636" s="6">
        <f>IFERROR(__xludf.DUMMYFUNCTION("IF(REGEXMATCH(A636, ""^00-""), 0, IF(AND(NE(F636, """"), NE(G636, """")), 1, 0))"),0.0)</f>
        <v>0</v>
      </c>
      <c r="R636" s="6">
        <f t="shared" si="1"/>
        <v>1</v>
      </c>
    </row>
    <row r="637">
      <c r="A637" s="1" t="s">
        <v>84</v>
      </c>
      <c r="B637" s="1" t="s">
        <v>1806</v>
      </c>
      <c r="C637" s="1">
        <v>298.0</v>
      </c>
      <c r="D637" s="1">
        <v>234.0</v>
      </c>
      <c r="E637" s="1">
        <v>532.0</v>
      </c>
      <c r="F637" s="1"/>
      <c r="G637" s="1" t="s">
        <v>1807</v>
      </c>
      <c r="H637" s="1" t="s">
        <v>269</v>
      </c>
      <c r="I637" s="1" t="s">
        <v>172</v>
      </c>
      <c r="J637" s="1" t="s">
        <v>1586</v>
      </c>
      <c r="K637" s="1" t="s">
        <v>1468</v>
      </c>
      <c r="L637" s="1" t="b">
        <v>1</v>
      </c>
      <c r="M637" s="1" t="s">
        <v>1777</v>
      </c>
      <c r="N637" s="6">
        <f>IFERROR(__xludf.DUMMYFUNCTION("IF(REGEXMATCH(A637, ""^00-""), 0, IF(AND(EQ(F637, """"), EQ(G637, """")), 1, 0))"),0.0)</f>
        <v>0</v>
      </c>
      <c r="O637" s="6">
        <f>IFERROR(__xludf.DUMMYFUNCTION("IF(REGEXMATCH(A637, ""^00-""), 0, IF(AND(NE(F637, """"), EQ(G637, """")), 1, 0))"),0.0)</f>
        <v>0</v>
      </c>
      <c r="P637" s="6">
        <f>IFERROR(__xludf.DUMMYFUNCTION("IF(REGEXMATCH(A637, ""^00-""), 0, IF(AND(EQ(F637, """"), NE(G637, """")), 1, 0))"),1.0)</f>
        <v>1</v>
      </c>
      <c r="Q637" s="6">
        <f>IFERROR(__xludf.DUMMYFUNCTION("IF(REGEXMATCH(A637, ""^00-""), 0, IF(AND(NE(F637, """"), NE(G637, """")), 1, 0))"),0.0)</f>
        <v>0</v>
      </c>
      <c r="R637" s="6">
        <f t="shared" si="1"/>
        <v>1</v>
      </c>
    </row>
    <row r="638">
      <c r="A638" s="1" t="s">
        <v>84</v>
      </c>
      <c r="B638" s="1" t="s">
        <v>1808</v>
      </c>
      <c r="C638" s="1">
        <v>169.0</v>
      </c>
      <c r="D638" s="1">
        <v>363.0</v>
      </c>
      <c r="E638" s="1">
        <v>532.0</v>
      </c>
      <c r="F638" s="1"/>
      <c r="G638" s="1" t="s">
        <v>1809</v>
      </c>
      <c r="H638" s="1" t="s">
        <v>235</v>
      </c>
      <c r="I638" s="1" t="s">
        <v>172</v>
      </c>
      <c r="J638" s="1" t="s">
        <v>1586</v>
      </c>
      <c r="K638" s="1" t="s">
        <v>1468</v>
      </c>
      <c r="L638" s="1" t="b">
        <v>1</v>
      </c>
      <c r="M638" s="1" t="s">
        <v>1801</v>
      </c>
      <c r="N638" s="6">
        <f>IFERROR(__xludf.DUMMYFUNCTION("IF(REGEXMATCH(A638, ""^00-""), 0, IF(AND(EQ(F638, """"), EQ(G638, """")), 1, 0))"),0.0)</f>
        <v>0</v>
      </c>
      <c r="O638" s="6">
        <f>IFERROR(__xludf.DUMMYFUNCTION("IF(REGEXMATCH(A638, ""^00-""), 0, IF(AND(NE(F638, """"), EQ(G638, """")), 1, 0))"),0.0)</f>
        <v>0</v>
      </c>
      <c r="P638" s="6">
        <f>IFERROR(__xludf.DUMMYFUNCTION("IF(REGEXMATCH(A638, ""^00-""), 0, IF(AND(EQ(F638, """"), NE(G638, """")), 1, 0))"),1.0)</f>
        <v>1</v>
      </c>
      <c r="Q638" s="6">
        <f>IFERROR(__xludf.DUMMYFUNCTION("IF(REGEXMATCH(A638, ""^00-""), 0, IF(AND(NE(F638, """"), NE(G638, """")), 1, 0))"),0.0)</f>
        <v>0</v>
      </c>
      <c r="R638" s="6">
        <f t="shared" si="1"/>
        <v>1</v>
      </c>
    </row>
    <row r="639">
      <c r="A639" s="1" t="s">
        <v>84</v>
      </c>
      <c r="B639" s="1" t="s">
        <v>1810</v>
      </c>
      <c r="C639" s="1">
        <v>298.0</v>
      </c>
      <c r="D639" s="1">
        <v>234.0</v>
      </c>
      <c r="E639" s="1">
        <v>532.0</v>
      </c>
      <c r="F639" s="1"/>
      <c r="G639" s="1" t="s">
        <v>1811</v>
      </c>
      <c r="H639" s="1" t="s">
        <v>269</v>
      </c>
      <c r="I639" s="1" t="s">
        <v>172</v>
      </c>
      <c r="J639" s="1" t="s">
        <v>1586</v>
      </c>
      <c r="K639" s="1" t="s">
        <v>1468</v>
      </c>
      <c r="L639" s="1" t="b">
        <v>1</v>
      </c>
      <c r="M639" s="1" t="s">
        <v>1685</v>
      </c>
      <c r="N639" s="6">
        <f>IFERROR(__xludf.DUMMYFUNCTION("IF(REGEXMATCH(A639, ""^00-""), 0, IF(AND(EQ(F639, """"), EQ(G639, """")), 1, 0))"),0.0)</f>
        <v>0</v>
      </c>
      <c r="O639" s="6">
        <f>IFERROR(__xludf.DUMMYFUNCTION("IF(REGEXMATCH(A639, ""^00-""), 0, IF(AND(NE(F639, """"), EQ(G639, """")), 1, 0))"),0.0)</f>
        <v>0</v>
      </c>
      <c r="P639" s="6">
        <f>IFERROR(__xludf.DUMMYFUNCTION("IF(REGEXMATCH(A639, ""^00-""), 0, IF(AND(EQ(F639, """"), NE(G639, """")), 1, 0))"),1.0)</f>
        <v>1</v>
      </c>
      <c r="Q639" s="6">
        <f>IFERROR(__xludf.DUMMYFUNCTION("IF(REGEXMATCH(A639, ""^00-""), 0, IF(AND(NE(F639, """"), NE(G639, """")), 1, 0))"),0.0)</f>
        <v>0</v>
      </c>
      <c r="R639" s="6">
        <f t="shared" si="1"/>
        <v>1</v>
      </c>
    </row>
    <row r="640">
      <c r="A640" s="1" t="s">
        <v>84</v>
      </c>
      <c r="B640" s="1" t="s">
        <v>1812</v>
      </c>
      <c r="C640" s="1">
        <v>298.0</v>
      </c>
      <c r="D640" s="1">
        <v>234.0</v>
      </c>
      <c r="E640" s="1">
        <v>532.0</v>
      </c>
      <c r="F640" s="1"/>
      <c r="G640" s="1" t="s">
        <v>1813</v>
      </c>
      <c r="H640" s="1" t="s">
        <v>269</v>
      </c>
      <c r="I640" s="1" t="s">
        <v>172</v>
      </c>
      <c r="J640" s="1" t="s">
        <v>1586</v>
      </c>
      <c r="K640" s="1" t="s">
        <v>1468</v>
      </c>
      <c r="L640" s="1" t="b">
        <v>1</v>
      </c>
      <c r="M640" s="1" t="s">
        <v>1714</v>
      </c>
      <c r="N640" s="6">
        <f>IFERROR(__xludf.DUMMYFUNCTION("IF(REGEXMATCH(A640, ""^00-""), 0, IF(AND(EQ(F640, """"), EQ(G640, """")), 1, 0))"),0.0)</f>
        <v>0</v>
      </c>
      <c r="O640" s="6">
        <f>IFERROR(__xludf.DUMMYFUNCTION("IF(REGEXMATCH(A640, ""^00-""), 0, IF(AND(NE(F640, """"), EQ(G640, """")), 1, 0))"),0.0)</f>
        <v>0</v>
      </c>
      <c r="P640" s="6">
        <f>IFERROR(__xludf.DUMMYFUNCTION("IF(REGEXMATCH(A640, ""^00-""), 0, IF(AND(EQ(F640, """"), NE(G640, """")), 1, 0))"),1.0)</f>
        <v>1</v>
      </c>
      <c r="Q640" s="6">
        <f>IFERROR(__xludf.DUMMYFUNCTION("IF(REGEXMATCH(A640, ""^00-""), 0, IF(AND(NE(F640, """"), NE(G640, """")), 1, 0))"),0.0)</f>
        <v>0</v>
      </c>
      <c r="R640" s="6">
        <f t="shared" si="1"/>
        <v>1</v>
      </c>
    </row>
    <row r="641">
      <c r="A641" s="1" t="s">
        <v>84</v>
      </c>
      <c r="B641" s="1" t="s">
        <v>1814</v>
      </c>
      <c r="C641" s="1">
        <v>298.0</v>
      </c>
      <c r="D641" s="1">
        <v>234.0</v>
      </c>
      <c r="E641" s="1">
        <v>532.0</v>
      </c>
      <c r="F641" s="1"/>
      <c r="G641" s="1" t="s">
        <v>1815</v>
      </c>
      <c r="H641" s="1" t="s">
        <v>269</v>
      </c>
      <c r="I641" s="1" t="s">
        <v>172</v>
      </c>
      <c r="J641" s="1" t="s">
        <v>1586</v>
      </c>
      <c r="K641" s="1" t="s">
        <v>1468</v>
      </c>
      <c r="L641" s="1" t="b">
        <v>1</v>
      </c>
      <c r="M641" s="1" t="s">
        <v>1685</v>
      </c>
      <c r="N641" s="6">
        <f>IFERROR(__xludf.DUMMYFUNCTION("IF(REGEXMATCH(A641, ""^00-""), 0, IF(AND(EQ(F641, """"), EQ(G641, """")), 1, 0))"),0.0)</f>
        <v>0</v>
      </c>
      <c r="O641" s="6">
        <f>IFERROR(__xludf.DUMMYFUNCTION("IF(REGEXMATCH(A641, ""^00-""), 0, IF(AND(NE(F641, """"), EQ(G641, """")), 1, 0))"),0.0)</f>
        <v>0</v>
      </c>
      <c r="P641" s="6">
        <f>IFERROR(__xludf.DUMMYFUNCTION("IF(REGEXMATCH(A641, ""^00-""), 0, IF(AND(EQ(F641, """"), NE(G641, """")), 1, 0))"),1.0)</f>
        <v>1</v>
      </c>
      <c r="Q641" s="6">
        <f>IFERROR(__xludf.DUMMYFUNCTION("IF(REGEXMATCH(A641, ""^00-""), 0, IF(AND(NE(F641, """"), NE(G641, """")), 1, 0))"),0.0)</f>
        <v>0</v>
      </c>
      <c r="R641" s="6">
        <f t="shared" si="1"/>
        <v>1</v>
      </c>
    </row>
    <row r="642">
      <c r="A642" s="1" t="s">
        <v>84</v>
      </c>
      <c r="B642" s="1" t="s">
        <v>1816</v>
      </c>
      <c r="C642" s="1">
        <v>116.0</v>
      </c>
      <c r="D642" s="1">
        <v>416.0</v>
      </c>
      <c r="E642" s="1">
        <v>532.0</v>
      </c>
      <c r="F642" s="1"/>
      <c r="G642" s="1" t="s">
        <v>1817</v>
      </c>
      <c r="H642" s="1" t="s">
        <v>269</v>
      </c>
      <c r="I642" s="1" t="s">
        <v>172</v>
      </c>
      <c r="J642" s="1" t="s">
        <v>1586</v>
      </c>
      <c r="K642" s="1" t="s">
        <v>1468</v>
      </c>
      <c r="L642" s="1" t="b">
        <v>1</v>
      </c>
      <c r="M642" s="1" t="s">
        <v>1723</v>
      </c>
      <c r="N642" s="6">
        <f>IFERROR(__xludf.DUMMYFUNCTION("IF(REGEXMATCH(A642, ""^00-""), 0, IF(AND(EQ(F642, """"), EQ(G642, """")), 1, 0))"),0.0)</f>
        <v>0</v>
      </c>
      <c r="O642" s="6">
        <f>IFERROR(__xludf.DUMMYFUNCTION("IF(REGEXMATCH(A642, ""^00-""), 0, IF(AND(NE(F642, """"), EQ(G642, """")), 1, 0))"),0.0)</f>
        <v>0</v>
      </c>
      <c r="P642" s="6">
        <f>IFERROR(__xludf.DUMMYFUNCTION("IF(REGEXMATCH(A642, ""^00-""), 0, IF(AND(EQ(F642, """"), NE(G642, """")), 1, 0))"),1.0)</f>
        <v>1</v>
      </c>
      <c r="Q642" s="6">
        <f>IFERROR(__xludf.DUMMYFUNCTION("IF(REGEXMATCH(A642, ""^00-""), 0, IF(AND(NE(F642, """"), NE(G642, """")), 1, 0))"),0.0)</f>
        <v>0</v>
      </c>
      <c r="R642" s="6">
        <f t="shared" si="1"/>
        <v>1</v>
      </c>
    </row>
    <row r="643">
      <c r="A643" s="1" t="s">
        <v>84</v>
      </c>
      <c r="B643" s="1" t="s">
        <v>1818</v>
      </c>
      <c r="C643" s="1">
        <v>347.0</v>
      </c>
      <c r="D643" s="1">
        <v>185.0</v>
      </c>
      <c r="E643" s="1">
        <v>532.0</v>
      </c>
      <c r="F643" s="1" t="s">
        <v>1819</v>
      </c>
      <c r="G643" s="1"/>
      <c r="H643" s="1" t="s">
        <v>250</v>
      </c>
      <c r="I643" s="1" t="s">
        <v>172</v>
      </c>
      <c r="J643" s="1" t="s">
        <v>1586</v>
      </c>
      <c r="K643" s="1" t="s">
        <v>1468</v>
      </c>
      <c r="L643" s="1" t="b">
        <v>1</v>
      </c>
      <c r="M643" s="1" t="s">
        <v>250</v>
      </c>
      <c r="N643" s="6">
        <f>IFERROR(__xludf.DUMMYFUNCTION("IF(REGEXMATCH(A643, ""^00-""), 0, IF(AND(EQ(F643, """"), EQ(G643, """")), 1, 0))"),0.0)</f>
        <v>0</v>
      </c>
      <c r="O643" s="6">
        <f>IFERROR(__xludf.DUMMYFUNCTION("IF(REGEXMATCH(A643, ""^00-""), 0, IF(AND(NE(F643, """"), EQ(G643, """")), 1, 0))"),1.0)</f>
        <v>1</v>
      </c>
      <c r="P643" s="6">
        <f>IFERROR(__xludf.DUMMYFUNCTION("IF(REGEXMATCH(A643, ""^00-""), 0, IF(AND(EQ(F643, """"), NE(G643, """")), 1, 0))"),0.0)</f>
        <v>0</v>
      </c>
      <c r="Q643" s="6">
        <f>IFERROR(__xludf.DUMMYFUNCTION("IF(REGEXMATCH(A643, ""^00-""), 0, IF(AND(NE(F643, """"), NE(G643, """")), 1, 0))"),0.0)</f>
        <v>0</v>
      </c>
      <c r="R643" s="6">
        <f t="shared" si="1"/>
        <v>1</v>
      </c>
    </row>
    <row r="644">
      <c r="A644" s="1" t="s">
        <v>84</v>
      </c>
      <c r="B644" s="1" t="s">
        <v>1820</v>
      </c>
      <c r="C644" s="1">
        <v>298.0</v>
      </c>
      <c r="D644" s="1">
        <v>234.0</v>
      </c>
      <c r="E644" s="1">
        <v>532.0</v>
      </c>
      <c r="F644" s="1"/>
      <c r="G644" s="1" t="s">
        <v>1821</v>
      </c>
      <c r="H644" s="1" t="s">
        <v>269</v>
      </c>
      <c r="I644" s="1" t="s">
        <v>172</v>
      </c>
      <c r="J644" s="1" t="s">
        <v>1586</v>
      </c>
      <c r="K644" s="1" t="s">
        <v>1468</v>
      </c>
      <c r="L644" s="1" t="b">
        <v>1</v>
      </c>
      <c r="M644" s="1" t="s">
        <v>1777</v>
      </c>
      <c r="N644" s="6">
        <f>IFERROR(__xludf.DUMMYFUNCTION("IF(REGEXMATCH(A644, ""^00-""), 0, IF(AND(EQ(F644, """"), EQ(G644, """")), 1, 0))"),0.0)</f>
        <v>0</v>
      </c>
      <c r="O644" s="6">
        <f>IFERROR(__xludf.DUMMYFUNCTION("IF(REGEXMATCH(A644, ""^00-""), 0, IF(AND(NE(F644, """"), EQ(G644, """")), 1, 0))"),0.0)</f>
        <v>0</v>
      </c>
      <c r="P644" s="6">
        <f>IFERROR(__xludf.DUMMYFUNCTION("IF(REGEXMATCH(A644, ""^00-""), 0, IF(AND(EQ(F644, """"), NE(G644, """")), 1, 0))"),1.0)</f>
        <v>1</v>
      </c>
      <c r="Q644" s="6">
        <f>IFERROR(__xludf.DUMMYFUNCTION("IF(REGEXMATCH(A644, ""^00-""), 0, IF(AND(NE(F644, """"), NE(G644, """")), 1, 0))"),0.0)</f>
        <v>0</v>
      </c>
      <c r="R644" s="6">
        <f t="shared" si="1"/>
        <v>1</v>
      </c>
    </row>
    <row r="645">
      <c r="A645" s="1" t="s">
        <v>84</v>
      </c>
      <c r="B645" s="1" t="s">
        <v>1822</v>
      </c>
      <c r="C645" s="1">
        <v>347.0</v>
      </c>
      <c r="D645" s="1">
        <v>185.0</v>
      </c>
      <c r="E645" s="1">
        <v>532.0</v>
      </c>
      <c r="F645" s="1" t="s">
        <v>1823</v>
      </c>
      <c r="G645" s="1"/>
      <c r="H645" s="1" t="s">
        <v>254</v>
      </c>
      <c r="I645" s="1" t="s">
        <v>172</v>
      </c>
      <c r="J645" s="1" t="s">
        <v>1586</v>
      </c>
      <c r="K645" s="1" t="s">
        <v>1468</v>
      </c>
      <c r="L645" s="1" t="b">
        <v>1</v>
      </c>
      <c r="M645" s="1" t="s">
        <v>254</v>
      </c>
      <c r="N645" s="6">
        <f>IFERROR(__xludf.DUMMYFUNCTION("IF(REGEXMATCH(A645, ""^00-""), 0, IF(AND(EQ(F645, """"), EQ(G645, """")), 1, 0))"),0.0)</f>
        <v>0</v>
      </c>
      <c r="O645" s="6">
        <f>IFERROR(__xludf.DUMMYFUNCTION("IF(REGEXMATCH(A645, ""^00-""), 0, IF(AND(NE(F645, """"), EQ(G645, """")), 1, 0))"),1.0)</f>
        <v>1</v>
      </c>
      <c r="P645" s="6">
        <f>IFERROR(__xludf.DUMMYFUNCTION("IF(REGEXMATCH(A645, ""^00-""), 0, IF(AND(EQ(F645, """"), NE(G645, """")), 1, 0))"),0.0)</f>
        <v>0</v>
      </c>
      <c r="Q645" s="6">
        <f>IFERROR(__xludf.DUMMYFUNCTION("IF(REGEXMATCH(A645, ""^00-""), 0, IF(AND(NE(F645, """"), NE(G645, """")), 1, 0))"),0.0)</f>
        <v>0</v>
      </c>
      <c r="R645" s="6">
        <f t="shared" si="1"/>
        <v>1</v>
      </c>
    </row>
    <row r="646">
      <c r="A646" s="1" t="s">
        <v>84</v>
      </c>
      <c r="B646" s="1" t="s">
        <v>1824</v>
      </c>
      <c r="C646" s="1">
        <v>298.0</v>
      </c>
      <c r="D646" s="1">
        <v>234.0</v>
      </c>
      <c r="E646" s="1">
        <v>532.0</v>
      </c>
      <c r="F646" s="1"/>
      <c r="G646" s="1" t="s">
        <v>1825</v>
      </c>
      <c r="H646" s="1" t="s">
        <v>269</v>
      </c>
      <c r="I646" s="1" t="s">
        <v>172</v>
      </c>
      <c r="J646" s="1" t="s">
        <v>1586</v>
      </c>
      <c r="K646" s="1" t="s">
        <v>1468</v>
      </c>
      <c r="L646" s="1" t="b">
        <v>1</v>
      </c>
      <c r="M646" s="1" t="s">
        <v>1777</v>
      </c>
      <c r="N646" s="6">
        <f>IFERROR(__xludf.DUMMYFUNCTION("IF(REGEXMATCH(A646, ""^00-""), 0, IF(AND(EQ(F646, """"), EQ(G646, """")), 1, 0))"),0.0)</f>
        <v>0</v>
      </c>
      <c r="O646" s="6">
        <f>IFERROR(__xludf.DUMMYFUNCTION("IF(REGEXMATCH(A646, ""^00-""), 0, IF(AND(NE(F646, """"), EQ(G646, """")), 1, 0))"),0.0)</f>
        <v>0</v>
      </c>
      <c r="P646" s="6">
        <f>IFERROR(__xludf.DUMMYFUNCTION("IF(REGEXMATCH(A646, ""^00-""), 0, IF(AND(EQ(F646, """"), NE(G646, """")), 1, 0))"),1.0)</f>
        <v>1</v>
      </c>
      <c r="Q646" s="6">
        <f>IFERROR(__xludf.DUMMYFUNCTION("IF(REGEXMATCH(A646, ""^00-""), 0, IF(AND(NE(F646, """"), NE(G646, """")), 1, 0))"),0.0)</f>
        <v>0</v>
      </c>
      <c r="R646" s="6">
        <f t="shared" si="1"/>
        <v>1</v>
      </c>
    </row>
    <row r="647">
      <c r="A647" s="1" t="s">
        <v>84</v>
      </c>
      <c r="B647" s="1" t="s">
        <v>1826</v>
      </c>
      <c r="C647" s="1">
        <v>298.0</v>
      </c>
      <c r="D647" s="1">
        <v>234.0</v>
      </c>
      <c r="E647" s="1">
        <v>532.0</v>
      </c>
      <c r="F647" s="1"/>
      <c r="G647" s="1" t="s">
        <v>1827</v>
      </c>
      <c r="H647" s="1" t="s">
        <v>269</v>
      </c>
      <c r="I647" s="1" t="s">
        <v>172</v>
      </c>
      <c r="J647" s="1" t="s">
        <v>1586</v>
      </c>
      <c r="K647" s="1" t="s">
        <v>1468</v>
      </c>
      <c r="L647" s="1" t="b">
        <v>1</v>
      </c>
      <c r="M647" s="1" t="s">
        <v>1777</v>
      </c>
      <c r="N647" s="6">
        <f>IFERROR(__xludf.DUMMYFUNCTION("IF(REGEXMATCH(A647, ""^00-""), 0, IF(AND(EQ(F647, """"), EQ(G647, """")), 1, 0))"),0.0)</f>
        <v>0</v>
      </c>
      <c r="O647" s="6">
        <f>IFERROR(__xludf.DUMMYFUNCTION("IF(REGEXMATCH(A647, ""^00-""), 0, IF(AND(NE(F647, """"), EQ(G647, """")), 1, 0))"),0.0)</f>
        <v>0</v>
      </c>
      <c r="P647" s="6">
        <f>IFERROR(__xludf.DUMMYFUNCTION("IF(REGEXMATCH(A647, ""^00-""), 0, IF(AND(EQ(F647, """"), NE(G647, """")), 1, 0))"),1.0)</f>
        <v>1</v>
      </c>
      <c r="Q647" s="6">
        <f>IFERROR(__xludf.DUMMYFUNCTION("IF(REGEXMATCH(A647, ""^00-""), 0, IF(AND(NE(F647, """"), NE(G647, """")), 1, 0))"),0.0)</f>
        <v>0</v>
      </c>
      <c r="R647" s="6">
        <f t="shared" si="1"/>
        <v>1</v>
      </c>
    </row>
    <row r="648">
      <c r="A648" s="1" t="s">
        <v>84</v>
      </c>
      <c r="B648" s="1" t="s">
        <v>1828</v>
      </c>
      <c r="C648" s="1">
        <v>298.0</v>
      </c>
      <c r="D648" s="1">
        <v>234.0</v>
      </c>
      <c r="E648" s="1">
        <v>532.0</v>
      </c>
      <c r="F648" s="1"/>
      <c r="G648" s="1" t="s">
        <v>1829</v>
      </c>
      <c r="H648" s="1" t="s">
        <v>269</v>
      </c>
      <c r="I648" s="1" t="s">
        <v>172</v>
      </c>
      <c r="J648" s="1" t="s">
        <v>1586</v>
      </c>
      <c r="K648" s="1" t="s">
        <v>1468</v>
      </c>
      <c r="L648" s="1" t="b">
        <v>1</v>
      </c>
      <c r="M648" s="1" t="s">
        <v>1777</v>
      </c>
      <c r="N648" s="6">
        <f>IFERROR(__xludf.DUMMYFUNCTION("IF(REGEXMATCH(A648, ""^00-""), 0, IF(AND(EQ(F648, """"), EQ(G648, """")), 1, 0))"),0.0)</f>
        <v>0</v>
      </c>
      <c r="O648" s="6">
        <f>IFERROR(__xludf.DUMMYFUNCTION("IF(REGEXMATCH(A648, ""^00-""), 0, IF(AND(NE(F648, """"), EQ(G648, """")), 1, 0))"),0.0)</f>
        <v>0</v>
      </c>
      <c r="P648" s="6">
        <f>IFERROR(__xludf.DUMMYFUNCTION("IF(REGEXMATCH(A648, ""^00-""), 0, IF(AND(EQ(F648, """"), NE(G648, """")), 1, 0))"),1.0)</f>
        <v>1</v>
      </c>
      <c r="Q648" s="6">
        <f>IFERROR(__xludf.DUMMYFUNCTION("IF(REGEXMATCH(A648, ""^00-""), 0, IF(AND(NE(F648, """"), NE(G648, """")), 1, 0))"),0.0)</f>
        <v>0</v>
      </c>
      <c r="R648" s="6">
        <f t="shared" si="1"/>
        <v>1</v>
      </c>
    </row>
    <row r="649">
      <c r="A649" s="1" t="s">
        <v>84</v>
      </c>
      <c r="B649" s="1" t="s">
        <v>1830</v>
      </c>
      <c r="C649" s="1">
        <v>298.0</v>
      </c>
      <c r="D649" s="1">
        <v>234.0</v>
      </c>
      <c r="E649" s="1">
        <v>532.0</v>
      </c>
      <c r="F649" s="1"/>
      <c r="G649" s="1" t="s">
        <v>1831</v>
      </c>
      <c r="H649" s="1" t="s">
        <v>269</v>
      </c>
      <c r="I649" s="1" t="s">
        <v>172</v>
      </c>
      <c r="J649" s="1" t="s">
        <v>1586</v>
      </c>
      <c r="K649" s="1" t="s">
        <v>1468</v>
      </c>
      <c r="L649" s="1" t="b">
        <v>1</v>
      </c>
      <c r="M649" s="1" t="s">
        <v>1777</v>
      </c>
      <c r="N649" s="6">
        <f>IFERROR(__xludf.DUMMYFUNCTION("IF(REGEXMATCH(A649, ""^00-""), 0, IF(AND(EQ(F649, """"), EQ(G649, """")), 1, 0))"),0.0)</f>
        <v>0</v>
      </c>
      <c r="O649" s="6">
        <f>IFERROR(__xludf.DUMMYFUNCTION("IF(REGEXMATCH(A649, ""^00-""), 0, IF(AND(NE(F649, """"), EQ(G649, """")), 1, 0))"),0.0)</f>
        <v>0</v>
      </c>
      <c r="P649" s="6">
        <f>IFERROR(__xludf.DUMMYFUNCTION("IF(REGEXMATCH(A649, ""^00-""), 0, IF(AND(EQ(F649, """"), NE(G649, """")), 1, 0))"),1.0)</f>
        <v>1</v>
      </c>
      <c r="Q649" s="6">
        <f>IFERROR(__xludf.DUMMYFUNCTION("IF(REGEXMATCH(A649, ""^00-""), 0, IF(AND(NE(F649, """"), NE(G649, """")), 1, 0))"),0.0)</f>
        <v>0</v>
      </c>
      <c r="R649" s="6">
        <f t="shared" si="1"/>
        <v>1</v>
      </c>
    </row>
    <row r="650">
      <c r="A650" s="1" t="s">
        <v>84</v>
      </c>
      <c r="B650" s="1" t="s">
        <v>1832</v>
      </c>
      <c r="C650" s="1">
        <v>298.0</v>
      </c>
      <c r="D650" s="1">
        <v>234.0</v>
      </c>
      <c r="E650" s="1">
        <v>532.0</v>
      </c>
      <c r="F650" s="1"/>
      <c r="G650" s="1" t="s">
        <v>1833</v>
      </c>
      <c r="H650" s="1" t="s">
        <v>269</v>
      </c>
      <c r="I650" s="1" t="s">
        <v>172</v>
      </c>
      <c r="J650" s="1" t="s">
        <v>1586</v>
      </c>
      <c r="K650" s="1" t="s">
        <v>1468</v>
      </c>
      <c r="L650" s="1" t="b">
        <v>1</v>
      </c>
      <c r="M650" s="1" t="s">
        <v>1777</v>
      </c>
      <c r="N650" s="6">
        <f>IFERROR(__xludf.DUMMYFUNCTION("IF(REGEXMATCH(A650, ""^00-""), 0, IF(AND(EQ(F650, """"), EQ(G650, """")), 1, 0))"),0.0)</f>
        <v>0</v>
      </c>
      <c r="O650" s="6">
        <f>IFERROR(__xludf.DUMMYFUNCTION("IF(REGEXMATCH(A650, ""^00-""), 0, IF(AND(NE(F650, """"), EQ(G650, """")), 1, 0))"),0.0)</f>
        <v>0</v>
      </c>
      <c r="P650" s="6">
        <f>IFERROR(__xludf.DUMMYFUNCTION("IF(REGEXMATCH(A650, ""^00-""), 0, IF(AND(EQ(F650, """"), NE(G650, """")), 1, 0))"),1.0)</f>
        <v>1</v>
      </c>
      <c r="Q650" s="6">
        <f>IFERROR(__xludf.DUMMYFUNCTION("IF(REGEXMATCH(A650, ""^00-""), 0, IF(AND(NE(F650, """"), NE(G650, """")), 1, 0))"),0.0)</f>
        <v>0</v>
      </c>
      <c r="R650" s="6">
        <f t="shared" si="1"/>
        <v>1</v>
      </c>
    </row>
    <row r="651">
      <c r="A651" s="1" t="s">
        <v>84</v>
      </c>
      <c r="B651" s="1" t="s">
        <v>1834</v>
      </c>
      <c r="C651" s="1">
        <v>298.0</v>
      </c>
      <c r="D651" s="1">
        <v>234.0</v>
      </c>
      <c r="E651" s="1">
        <v>532.0</v>
      </c>
      <c r="F651" s="1"/>
      <c r="G651" s="1" t="s">
        <v>1835</v>
      </c>
      <c r="H651" s="1" t="s">
        <v>269</v>
      </c>
      <c r="I651" s="1" t="s">
        <v>172</v>
      </c>
      <c r="J651" s="1" t="s">
        <v>1586</v>
      </c>
      <c r="K651" s="1" t="s">
        <v>1468</v>
      </c>
      <c r="L651" s="1" t="b">
        <v>1</v>
      </c>
      <c r="M651" s="1" t="s">
        <v>1777</v>
      </c>
      <c r="N651" s="6">
        <f>IFERROR(__xludf.DUMMYFUNCTION("IF(REGEXMATCH(A651, ""^00-""), 0, IF(AND(EQ(F651, """"), EQ(G651, """")), 1, 0))"),0.0)</f>
        <v>0</v>
      </c>
      <c r="O651" s="6">
        <f>IFERROR(__xludf.DUMMYFUNCTION("IF(REGEXMATCH(A651, ""^00-""), 0, IF(AND(NE(F651, """"), EQ(G651, """")), 1, 0))"),0.0)</f>
        <v>0</v>
      </c>
      <c r="P651" s="6">
        <f>IFERROR(__xludf.DUMMYFUNCTION("IF(REGEXMATCH(A651, ""^00-""), 0, IF(AND(EQ(F651, """"), NE(G651, """")), 1, 0))"),1.0)</f>
        <v>1</v>
      </c>
      <c r="Q651" s="6">
        <f>IFERROR(__xludf.DUMMYFUNCTION("IF(REGEXMATCH(A651, ""^00-""), 0, IF(AND(NE(F651, """"), NE(G651, """")), 1, 0))"),0.0)</f>
        <v>0</v>
      </c>
      <c r="R651" s="6">
        <f t="shared" si="1"/>
        <v>1</v>
      </c>
    </row>
    <row r="652">
      <c r="A652" s="1" t="s">
        <v>84</v>
      </c>
      <c r="B652" s="1" t="s">
        <v>1836</v>
      </c>
      <c r="C652" s="1">
        <v>298.0</v>
      </c>
      <c r="D652" s="1">
        <v>234.0</v>
      </c>
      <c r="E652" s="1">
        <v>532.0</v>
      </c>
      <c r="F652" s="1"/>
      <c r="G652" s="1" t="s">
        <v>1837</v>
      </c>
      <c r="H652" s="1" t="s">
        <v>269</v>
      </c>
      <c r="I652" s="1" t="s">
        <v>172</v>
      </c>
      <c r="J652" s="1" t="s">
        <v>1586</v>
      </c>
      <c r="K652" s="1" t="s">
        <v>1468</v>
      </c>
      <c r="L652" s="1" t="b">
        <v>1</v>
      </c>
      <c r="M652" s="1" t="s">
        <v>1777</v>
      </c>
      <c r="N652" s="6">
        <f>IFERROR(__xludf.DUMMYFUNCTION("IF(REGEXMATCH(A652, ""^00-""), 0, IF(AND(EQ(F652, """"), EQ(G652, """")), 1, 0))"),0.0)</f>
        <v>0</v>
      </c>
      <c r="O652" s="6">
        <f>IFERROR(__xludf.DUMMYFUNCTION("IF(REGEXMATCH(A652, ""^00-""), 0, IF(AND(NE(F652, """"), EQ(G652, """")), 1, 0))"),0.0)</f>
        <v>0</v>
      </c>
      <c r="P652" s="6">
        <f>IFERROR(__xludf.DUMMYFUNCTION("IF(REGEXMATCH(A652, ""^00-""), 0, IF(AND(EQ(F652, """"), NE(G652, """")), 1, 0))"),1.0)</f>
        <v>1</v>
      </c>
      <c r="Q652" s="6">
        <f>IFERROR(__xludf.DUMMYFUNCTION("IF(REGEXMATCH(A652, ""^00-""), 0, IF(AND(NE(F652, """"), NE(G652, """")), 1, 0))"),0.0)</f>
        <v>0</v>
      </c>
      <c r="R652" s="6">
        <f t="shared" si="1"/>
        <v>1</v>
      </c>
    </row>
    <row r="653">
      <c r="A653" s="1" t="s">
        <v>84</v>
      </c>
      <c r="B653" s="1" t="s">
        <v>1838</v>
      </c>
      <c r="C653" s="1">
        <v>298.0</v>
      </c>
      <c r="D653" s="1">
        <v>234.0</v>
      </c>
      <c r="E653" s="1">
        <v>532.0</v>
      </c>
      <c r="F653" s="1"/>
      <c r="G653" s="1" t="s">
        <v>1839</v>
      </c>
      <c r="H653" s="1" t="s">
        <v>269</v>
      </c>
      <c r="I653" s="1" t="s">
        <v>172</v>
      </c>
      <c r="J653" s="1" t="s">
        <v>1586</v>
      </c>
      <c r="K653" s="1" t="s">
        <v>1468</v>
      </c>
      <c r="L653" s="1" t="b">
        <v>1</v>
      </c>
      <c r="M653" s="1" t="s">
        <v>1777</v>
      </c>
      <c r="N653" s="6">
        <f>IFERROR(__xludf.DUMMYFUNCTION("IF(REGEXMATCH(A653, ""^00-""), 0, IF(AND(EQ(F653, """"), EQ(G653, """")), 1, 0))"),0.0)</f>
        <v>0</v>
      </c>
      <c r="O653" s="6">
        <f>IFERROR(__xludf.DUMMYFUNCTION("IF(REGEXMATCH(A653, ""^00-""), 0, IF(AND(NE(F653, """"), EQ(G653, """")), 1, 0))"),0.0)</f>
        <v>0</v>
      </c>
      <c r="P653" s="6">
        <f>IFERROR(__xludf.DUMMYFUNCTION("IF(REGEXMATCH(A653, ""^00-""), 0, IF(AND(EQ(F653, """"), NE(G653, """")), 1, 0))"),1.0)</f>
        <v>1</v>
      </c>
      <c r="Q653" s="6">
        <f>IFERROR(__xludf.DUMMYFUNCTION("IF(REGEXMATCH(A653, ""^00-""), 0, IF(AND(NE(F653, """"), NE(G653, """")), 1, 0))"),0.0)</f>
        <v>0</v>
      </c>
      <c r="R653" s="6">
        <f t="shared" si="1"/>
        <v>1</v>
      </c>
    </row>
    <row r="654">
      <c r="A654" s="1" t="s">
        <v>84</v>
      </c>
      <c r="B654" s="1" t="s">
        <v>1840</v>
      </c>
      <c r="C654" s="1">
        <v>298.0</v>
      </c>
      <c r="D654" s="1">
        <v>234.0</v>
      </c>
      <c r="E654" s="1">
        <v>532.0</v>
      </c>
      <c r="F654" s="1"/>
      <c r="G654" s="1" t="s">
        <v>1841</v>
      </c>
      <c r="H654" s="1" t="s">
        <v>269</v>
      </c>
      <c r="I654" s="1" t="s">
        <v>172</v>
      </c>
      <c r="J654" s="1" t="s">
        <v>1586</v>
      </c>
      <c r="K654" s="1" t="s">
        <v>1468</v>
      </c>
      <c r="L654" s="1" t="b">
        <v>1</v>
      </c>
      <c r="M654" s="1" t="s">
        <v>1777</v>
      </c>
      <c r="N654" s="6">
        <f>IFERROR(__xludf.DUMMYFUNCTION("IF(REGEXMATCH(A654, ""^00-""), 0, IF(AND(EQ(F654, """"), EQ(G654, """")), 1, 0))"),0.0)</f>
        <v>0</v>
      </c>
      <c r="O654" s="6">
        <f>IFERROR(__xludf.DUMMYFUNCTION("IF(REGEXMATCH(A654, ""^00-""), 0, IF(AND(NE(F654, """"), EQ(G654, """")), 1, 0))"),0.0)</f>
        <v>0</v>
      </c>
      <c r="P654" s="6">
        <f>IFERROR(__xludf.DUMMYFUNCTION("IF(REGEXMATCH(A654, ""^00-""), 0, IF(AND(EQ(F654, """"), NE(G654, """")), 1, 0))"),1.0)</f>
        <v>1</v>
      </c>
      <c r="Q654" s="6">
        <f>IFERROR(__xludf.DUMMYFUNCTION("IF(REGEXMATCH(A654, ""^00-""), 0, IF(AND(NE(F654, """"), NE(G654, """")), 1, 0))"),0.0)</f>
        <v>0</v>
      </c>
      <c r="R654" s="6">
        <f t="shared" si="1"/>
        <v>1</v>
      </c>
    </row>
    <row r="655">
      <c r="A655" s="1" t="s">
        <v>84</v>
      </c>
      <c r="B655" s="1" t="s">
        <v>1842</v>
      </c>
      <c r="C655" s="1">
        <v>298.0</v>
      </c>
      <c r="D655" s="1">
        <v>234.0</v>
      </c>
      <c r="E655" s="1">
        <v>532.0</v>
      </c>
      <c r="F655" s="1"/>
      <c r="G655" s="1" t="s">
        <v>1843</v>
      </c>
      <c r="H655" s="1" t="s">
        <v>269</v>
      </c>
      <c r="I655" s="1" t="s">
        <v>172</v>
      </c>
      <c r="J655" s="1" t="s">
        <v>1586</v>
      </c>
      <c r="K655" s="1" t="s">
        <v>1468</v>
      </c>
      <c r="L655" s="1" t="b">
        <v>1</v>
      </c>
      <c r="M655" s="1" t="s">
        <v>1777</v>
      </c>
      <c r="N655" s="6">
        <f>IFERROR(__xludf.DUMMYFUNCTION("IF(REGEXMATCH(A655, ""^00-""), 0, IF(AND(EQ(F655, """"), EQ(G655, """")), 1, 0))"),0.0)</f>
        <v>0</v>
      </c>
      <c r="O655" s="6">
        <f>IFERROR(__xludf.DUMMYFUNCTION("IF(REGEXMATCH(A655, ""^00-""), 0, IF(AND(NE(F655, """"), EQ(G655, """")), 1, 0))"),0.0)</f>
        <v>0</v>
      </c>
      <c r="P655" s="6">
        <f>IFERROR(__xludf.DUMMYFUNCTION("IF(REGEXMATCH(A655, ""^00-""), 0, IF(AND(EQ(F655, """"), NE(G655, """")), 1, 0))"),1.0)</f>
        <v>1</v>
      </c>
      <c r="Q655" s="6">
        <f>IFERROR(__xludf.DUMMYFUNCTION("IF(REGEXMATCH(A655, ""^00-""), 0, IF(AND(NE(F655, """"), NE(G655, """")), 1, 0))"),0.0)</f>
        <v>0</v>
      </c>
      <c r="R655" s="6">
        <f t="shared" si="1"/>
        <v>1</v>
      </c>
    </row>
    <row r="656">
      <c r="A656" s="1" t="s">
        <v>84</v>
      </c>
      <c r="B656" s="1" t="s">
        <v>1844</v>
      </c>
      <c r="C656" s="1">
        <v>298.0</v>
      </c>
      <c r="D656" s="1">
        <v>234.0</v>
      </c>
      <c r="E656" s="1">
        <v>532.0</v>
      </c>
      <c r="F656" s="1"/>
      <c r="G656" s="1" t="s">
        <v>1845</v>
      </c>
      <c r="H656" s="1" t="s">
        <v>269</v>
      </c>
      <c r="I656" s="1" t="s">
        <v>172</v>
      </c>
      <c r="J656" s="1" t="s">
        <v>1586</v>
      </c>
      <c r="K656" s="1" t="s">
        <v>1468</v>
      </c>
      <c r="L656" s="1" t="b">
        <v>1</v>
      </c>
      <c r="M656" s="1" t="s">
        <v>1777</v>
      </c>
      <c r="N656" s="6">
        <f>IFERROR(__xludf.DUMMYFUNCTION("IF(REGEXMATCH(A656, ""^00-""), 0, IF(AND(EQ(F656, """"), EQ(G656, """")), 1, 0))"),0.0)</f>
        <v>0</v>
      </c>
      <c r="O656" s="6">
        <f>IFERROR(__xludf.DUMMYFUNCTION("IF(REGEXMATCH(A656, ""^00-""), 0, IF(AND(NE(F656, """"), EQ(G656, """")), 1, 0))"),0.0)</f>
        <v>0</v>
      </c>
      <c r="P656" s="6">
        <f>IFERROR(__xludf.DUMMYFUNCTION("IF(REGEXMATCH(A656, ""^00-""), 0, IF(AND(EQ(F656, """"), NE(G656, """")), 1, 0))"),1.0)</f>
        <v>1</v>
      </c>
      <c r="Q656" s="6">
        <f>IFERROR(__xludf.DUMMYFUNCTION("IF(REGEXMATCH(A656, ""^00-""), 0, IF(AND(NE(F656, """"), NE(G656, """")), 1, 0))"),0.0)</f>
        <v>0</v>
      </c>
      <c r="R656" s="6">
        <f t="shared" si="1"/>
        <v>1</v>
      </c>
    </row>
    <row r="657">
      <c r="A657" s="1" t="s">
        <v>84</v>
      </c>
      <c r="B657" s="1" t="s">
        <v>1846</v>
      </c>
      <c r="C657" s="1">
        <v>298.0</v>
      </c>
      <c r="D657" s="1">
        <v>234.0</v>
      </c>
      <c r="E657" s="1">
        <v>532.0</v>
      </c>
      <c r="F657" s="1"/>
      <c r="G657" s="1" t="s">
        <v>1847</v>
      </c>
      <c r="H657" s="1" t="s">
        <v>269</v>
      </c>
      <c r="I657" s="1" t="s">
        <v>172</v>
      </c>
      <c r="J657" s="1" t="s">
        <v>1586</v>
      </c>
      <c r="K657" s="1" t="s">
        <v>1468</v>
      </c>
      <c r="L657" s="1" t="b">
        <v>1</v>
      </c>
      <c r="M657" s="1" t="s">
        <v>1777</v>
      </c>
      <c r="N657" s="6">
        <f>IFERROR(__xludf.DUMMYFUNCTION("IF(REGEXMATCH(A657, ""^00-""), 0, IF(AND(EQ(F657, """"), EQ(G657, """")), 1, 0))"),0.0)</f>
        <v>0</v>
      </c>
      <c r="O657" s="6">
        <f>IFERROR(__xludf.DUMMYFUNCTION("IF(REGEXMATCH(A657, ""^00-""), 0, IF(AND(NE(F657, """"), EQ(G657, """")), 1, 0))"),0.0)</f>
        <v>0</v>
      </c>
      <c r="P657" s="6">
        <f>IFERROR(__xludf.DUMMYFUNCTION("IF(REGEXMATCH(A657, ""^00-""), 0, IF(AND(EQ(F657, """"), NE(G657, """")), 1, 0))"),1.0)</f>
        <v>1</v>
      </c>
      <c r="Q657" s="6">
        <f>IFERROR(__xludf.DUMMYFUNCTION("IF(REGEXMATCH(A657, ""^00-""), 0, IF(AND(NE(F657, """"), NE(G657, """")), 1, 0))"),0.0)</f>
        <v>0</v>
      </c>
      <c r="R657" s="6">
        <f t="shared" si="1"/>
        <v>1</v>
      </c>
    </row>
    <row r="658">
      <c r="A658" s="1" t="s">
        <v>84</v>
      </c>
      <c r="B658" s="1" t="s">
        <v>1848</v>
      </c>
      <c r="C658" s="1">
        <v>298.0</v>
      </c>
      <c r="D658" s="1">
        <v>234.0</v>
      </c>
      <c r="E658" s="1">
        <v>532.0</v>
      </c>
      <c r="F658" s="1"/>
      <c r="G658" s="1" t="s">
        <v>1849</v>
      </c>
      <c r="H658" s="1" t="s">
        <v>269</v>
      </c>
      <c r="I658" s="1" t="s">
        <v>172</v>
      </c>
      <c r="J658" s="1" t="s">
        <v>1586</v>
      </c>
      <c r="K658" s="1" t="s">
        <v>1468</v>
      </c>
      <c r="L658" s="1" t="b">
        <v>1</v>
      </c>
      <c r="M658" s="1" t="s">
        <v>1777</v>
      </c>
      <c r="N658" s="6">
        <f>IFERROR(__xludf.DUMMYFUNCTION("IF(REGEXMATCH(A658, ""^00-""), 0, IF(AND(EQ(F658, """"), EQ(G658, """")), 1, 0))"),0.0)</f>
        <v>0</v>
      </c>
      <c r="O658" s="6">
        <f>IFERROR(__xludf.DUMMYFUNCTION("IF(REGEXMATCH(A658, ""^00-""), 0, IF(AND(NE(F658, """"), EQ(G658, """")), 1, 0))"),0.0)</f>
        <v>0</v>
      </c>
      <c r="P658" s="6">
        <f>IFERROR(__xludf.DUMMYFUNCTION("IF(REGEXMATCH(A658, ""^00-""), 0, IF(AND(EQ(F658, """"), NE(G658, """")), 1, 0))"),1.0)</f>
        <v>1</v>
      </c>
      <c r="Q658" s="6">
        <f>IFERROR(__xludf.DUMMYFUNCTION("IF(REGEXMATCH(A658, ""^00-""), 0, IF(AND(NE(F658, """"), NE(G658, """")), 1, 0))"),0.0)</f>
        <v>0</v>
      </c>
      <c r="R658" s="6">
        <f t="shared" si="1"/>
        <v>1</v>
      </c>
    </row>
    <row r="659">
      <c r="A659" s="1" t="s">
        <v>84</v>
      </c>
      <c r="B659" s="1" t="s">
        <v>1850</v>
      </c>
      <c r="C659" s="1">
        <v>298.0</v>
      </c>
      <c r="D659" s="1">
        <v>234.0</v>
      </c>
      <c r="E659" s="1">
        <v>532.0</v>
      </c>
      <c r="F659" s="1"/>
      <c r="G659" s="1" t="s">
        <v>1851</v>
      </c>
      <c r="H659" s="1" t="s">
        <v>269</v>
      </c>
      <c r="I659" s="1" t="s">
        <v>172</v>
      </c>
      <c r="J659" s="1" t="s">
        <v>1586</v>
      </c>
      <c r="K659" s="1" t="s">
        <v>1468</v>
      </c>
      <c r="L659" s="1" t="b">
        <v>1</v>
      </c>
      <c r="M659" s="1" t="s">
        <v>1777</v>
      </c>
      <c r="N659" s="6">
        <f>IFERROR(__xludf.DUMMYFUNCTION("IF(REGEXMATCH(A659, ""^00-""), 0, IF(AND(EQ(F659, """"), EQ(G659, """")), 1, 0))"),0.0)</f>
        <v>0</v>
      </c>
      <c r="O659" s="6">
        <f>IFERROR(__xludf.DUMMYFUNCTION("IF(REGEXMATCH(A659, ""^00-""), 0, IF(AND(NE(F659, """"), EQ(G659, """")), 1, 0))"),0.0)</f>
        <v>0</v>
      </c>
      <c r="P659" s="6">
        <f>IFERROR(__xludf.DUMMYFUNCTION("IF(REGEXMATCH(A659, ""^00-""), 0, IF(AND(EQ(F659, """"), NE(G659, """")), 1, 0))"),1.0)</f>
        <v>1</v>
      </c>
      <c r="Q659" s="6">
        <f>IFERROR(__xludf.DUMMYFUNCTION("IF(REGEXMATCH(A659, ""^00-""), 0, IF(AND(NE(F659, """"), NE(G659, """")), 1, 0))"),0.0)</f>
        <v>0</v>
      </c>
      <c r="R659" s="6">
        <f t="shared" si="1"/>
        <v>1</v>
      </c>
    </row>
    <row r="660">
      <c r="A660" s="1" t="s">
        <v>84</v>
      </c>
      <c r="B660" s="1" t="s">
        <v>1852</v>
      </c>
      <c r="C660" s="1">
        <v>297.0</v>
      </c>
      <c r="D660" s="1">
        <v>235.0</v>
      </c>
      <c r="E660" s="1">
        <v>532.0</v>
      </c>
      <c r="F660" s="1"/>
      <c r="G660" s="1" t="s">
        <v>1853</v>
      </c>
      <c r="H660" s="1" t="s">
        <v>190</v>
      </c>
      <c r="I660" s="1" t="s">
        <v>172</v>
      </c>
      <c r="J660" s="1" t="s">
        <v>1586</v>
      </c>
      <c r="K660" s="1" t="s">
        <v>1468</v>
      </c>
      <c r="L660" s="1" t="b">
        <v>1</v>
      </c>
      <c r="M660" s="1" t="s">
        <v>191</v>
      </c>
      <c r="N660" s="6">
        <f>IFERROR(__xludf.DUMMYFUNCTION("IF(REGEXMATCH(A660, ""^00-""), 0, IF(AND(EQ(F660, """"), EQ(G660, """")), 1, 0))"),0.0)</f>
        <v>0</v>
      </c>
      <c r="O660" s="6">
        <f>IFERROR(__xludf.DUMMYFUNCTION("IF(REGEXMATCH(A660, ""^00-""), 0, IF(AND(NE(F660, """"), EQ(G660, """")), 1, 0))"),0.0)</f>
        <v>0</v>
      </c>
      <c r="P660" s="6">
        <f>IFERROR(__xludf.DUMMYFUNCTION("IF(REGEXMATCH(A660, ""^00-""), 0, IF(AND(EQ(F660, """"), NE(G660, """")), 1, 0))"),1.0)</f>
        <v>1</v>
      </c>
      <c r="Q660" s="6">
        <f>IFERROR(__xludf.DUMMYFUNCTION("IF(REGEXMATCH(A660, ""^00-""), 0, IF(AND(NE(F660, """"), NE(G660, """")), 1, 0))"),0.0)</f>
        <v>0</v>
      </c>
      <c r="R660" s="6">
        <f t="shared" si="1"/>
        <v>1</v>
      </c>
    </row>
    <row r="661">
      <c r="A661" s="1" t="s">
        <v>84</v>
      </c>
      <c r="B661" s="1" t="s">
        <v>1854</v>
      </c>
      <c r="C661" s="1">
        <v>298.0</v>
      </c>
      <c r="D661" s="1">
        <v>234.0</v>
      </c>
      <c r="E661" s="1">
        <v>532.0</v>
      </c>
      <c r="F661" s="1"/>
      <c r="G661" s="1" t="s">
        <v>1855</v>
      </c>
      <c r="H661" s="1" t="s">
        <v>269</v>
      </c>
      <c r="I661" s="1" t="s">
        <v>172</v>
      </c>
      <c r="J661" s="1" t="s">
        <v>1586</v>
      </c>
      <c r="K661" s="1" t="s">
        <v>1468</v>
      </c>
      <c r="L661" s="1" t="b">
        <v>1</v>
      </c>
      <c r="M661" s="1" t="s">
        <v>1685</v>
      </c>
      <c r="N661" s="6">
        <f>IFERROR(__xludf.DUMMYFUNCTION("IF(REGEXMATCH(A661, ""^00-""), 0, IF(AND(EQ(F661, """"), EQ(G661, """")), 1, 0))"),0.0)</f>
        <v>0</v>
      </c>
      <c r="O661" s="6">
        <f>IFERROR(__xludf.DUMMYFUNCTION("IF(REGEXMATCH(A661, ""^00-""), 0, IF(AND(NE(F661, """"), EQ(G661, """")), 1, 0))"),0.0)</f>
        <v>0</v>
      </c>
      <c r="P661" s="6">
        <f>IFERROR(__xludf.DUMMYFUNCTION("IF(REGEXMATCH(A661, ""^00-""), 0, IF(AND(EQ(F661, """"), NE(G661, """")), 1, 0))"),1.0)</f>
        <v>1</v>
      </c>
      <c r="Q661" s="6">
        <f>IFERROR(__xludf.DUMMYFUNCTION("IF(REGEXMATCH(A661, ""^00-""), 0, IF(AND(NE(F661, """"), NE(G661, """")), 1, 0))"),0.0)</f>
        <v>0</v>
      </c>
      <c r="R661" s="6">
        <f t="shared" si="1"/>
        <v>1</v>
      </c>
    </row>
    <row r="662">
      <c r="A662" s="1" t="s">
        <v>84</v>
      </c>
      <c r="B662" s="1" t="s">
        <v>1856</v>
      </c>
      <c r="C662" s="1">
        <v>15.0</v>
      </c>
      <c r="D662" s="1">
        <v>517.0</v>
      </c>
      <c r="E662" s="1">
        <v>532.0</v>
      </c>
      <c r="F662" s="1"/>
      <c r="G662" s="1" t="s">
        <v>1857</v>
      </c>
      <c r="H662" s="1" t="s">
        <v>235</v>
      </c>
      <c r="I662" s="1" t="s">
        <v>172</v>
      </c>
      <c r="J662" s="1" t="s">
        <v>1586</v>
      </c>
      <c r="K662" s="1" t="s">
        <v>1468</v>
      </c>
      <c r="L662" s="1" t="b">
        <v>1</v>
      </c>
      <c r="M662" s="1" t="s">
        <v>1677</v>
      </c>
      <c r="N662" s="6">
        <f>IFERROR(__xludf.DUMMYFUNCTION("IF(REGEXMATCH(A662, ""^00-""), 0, IF(AND(EQ(F662, """"), EQ(G662, """")), 1, 0))"),0.0)</f>
        <v>0</v>
      </c>
      <c r="O662" s="6">
        <f>IFERROR(__xludf.DUMMYFUNCTION("IF(REGEXMATCH(A662, ""^00-""), 0, IF(AND(NE(F662, """"), EQ(G662, """")), 1, 0))"),0.0)</f>
        <v>0</v>
      </c>
      <c r="P662" s="6">
        <f>IFERROR(__xludf.DUMMYFUNCTION("IF(REGEXMATCH(A662, ""^00-""), 0, IF(AND(EQ(F662, """"), NE(G662, """")), 1, 0))"),1.0)</f>
        <v>1</v>
      </c>
      <c r="Q662" s="6">
        <f>IFERROR(__xludf.DUMMYFUNCTION("IF(REGEXMATCH(A662, ""^00-""), 0, IF(AND(NE(F662, """"), NE(G662, """")), 1, 0))"),0.0)</f>
        <v>0</v>
      </c>
      <c r="R662" s="6">
        <f t="shared" si="1"/>
        <v>1</v>
      </c>
    </row>
    <row r="663">
      <c r="A663" s="1" t="s">
        <v>84</v>
      </c>
      <c r="B663" s="1" t="s">
        <v>1858</v>
      </c>
      <c r="C663" s="1">
        <v>267.0</v>
      </c>
      <c r="D663" s="1">
        <v>265.0</v>
      </c>
      <c r="E663" s="1">
        <v>532.0</v>
      </c>
      <c r="F663" s="1"/>
      <c r="G663" s="1" t="s">
        <v>1859</v>
      </c>
      <c r="H663" s="1" t="s">
        <v>190</v>
      </c>
      <c r="I663" s="1" t="s">
        <v>172</v>
      </c>
      <c r="J663" s="1" t="s">
        <v>1586</v>
      </c>
      <c r="K663" s="1" t="s">
        <v>1468</v>
      </c>
      <c r="L663" s="1" t="b">
        <v>1</v>
      </c>
      <c r="M663" s="1" t="s">
        <v>191</v>
      </c>
      <c r="N663" s="6">
        <f>IFERROR(__xludf.DUMMYFUNCTION("IF(REGEXMATCH(A663, ""^00-""), 0, IF(AND(EQ(F663, """"), EQ(G663, """")), 1, 0))"),0.0)</f>
        <v>0</v>
      </c>
      <c r="O663" s="6">
        <f>IFERROR(__xludf.DUMMYFUNCTION("IF(REGEXMATCH(A663, ""^00-""), 0, IF(AND(NE(F663, """"), EQ(G663, """")), 1, 0))"),0.0)</f>
        <v>0</v>
      </c>
      <c r="P663" s="6">
        <f>IFERROR(__xludf.DUMMYFUNCTION("IF(REGEXMATCH(A663, ""^00-""), 0, IF(AND(EQ(F663, """"), NE(G663, """")), 1, 0))"),1.0)</f>
        <v>1</v>
      </c>
      <c r="Q663" s="6">
        <f>IFERROR(__xludf.DUMMYFUNCTION("IF(REGEXMATCH(A663, ""^00-""), 0, IF(AND(NE(F663, """"), NE(G663, """")), 1, 0))"),0.0)</f>
        <v>0</v>
      </c>
      <c r="R663" s="6">
        <f t="shared" si="1"/>
        <v>1</v>
      </c>
    </row>
    <row r="664">
      <c r="A664" s="1" t="s">
        <v>84</v>
      </c>
      <c r="B664" s="1" t="s">
        <v>1860</v>
      </c>
      <c r="C664" s="1">
        <v>128.0</v>
      </c>
      <c r="D664" s="1">
        <v>404.0</v>
      </c>
      <c r="E664" s="1">
        <v>532.0</v>
      </c>
      <c r="F664" s="1" t="s">
        <v>1861</v>
      </c>
      <c r="G664" s="1"/>
      <c r="H664" s="1" t="s">
        <v>190</v>
      </c>
      <c r="I664" s="1" t="s">
        <v>172</v>
      </c>
      <c r="J664" s="1" t="s">
        <v>1586</v>
      </c>
      <c r="K664" s="1" t="s">
        <v>1468</v>
      </c>
      <c r="L664" s="1" t="b">
        <v>1</v>
      </c>
      <c r="M664" s="1" t="s">
        <v>191</v>
      </c>
      <c r="N664" s="6">
        <f>IFERROR(__xludf.DUMMYFUNCTION("IF(REGEXMATCH(A664, ""^00-""), 0, IF(AND(EQ(F664, """"), EQ(G664, """")), 1, 0))"),0.0)</f>
        <v>0</v>
      </c>
      <c r="O664" s="6">
        <f>IFERROR(__xludf.DUMMYFUNCTION("IF(REGEXMATCH(A664, ""^00-""), 0, IF(AND(NE(F664, """"), EQ(G664, """")), 1, 0))"),1.0)</f>
        <v>1</v>
      </c>
      <c r="P664" s="6">
        <f>IFERROR(__xludf.DUMMYFUNCTION("IF(REGEXMATCH(A664, ""^00-""), 0, IF(AND(EQ(F664, """"), NE(G664, """")), 1, 0))"),0.0)</f>
        <v>0</v>
      </c>
      <c r="Q664" s="6">
        <f>IFERROR(__xludf.DUMMYFUNCTION("IF(REGEXMATCH(A664, ""^00-""), 0, IF(AND(NE(F664, """"), NE(G664, """")), 1, 0))"),0.0)</f>
        <v>0</v>
      </c>
      <c r="R664" s="6">
        <f t="shared" si="1"/>
        <v>1</v>
      </c>
    </row>
    <row r="665">
      <c r="A665" s="1" t="s">
        <v>84</v>
      </c>
      <c r="B665" s="1" t="s">
        <v>1862</v>
      </c>
      <c r="C665" s="1">
        <v>128.0</v>
      </c>
      <c r="D665" s="1">
        <v>404.0</v>
      </c>
      <c r="E665" s="1">
        <v>532.0</v>
      </c>
      <c r="F665" s="1" t="s">
        <v>1863</v>
      </c>
      <c r="G665" s="1"/>
      <c r="H665" s="1" t="s">
        <v>190</v>
      </c>
      <c r="I665" s="1" t="s">
        <v>172</v>
      </c>
      <c r="J665" s="1" t="s">
        <v>1586</v>
      </c>
      <c r="K665" s="1" t="s">
        <v>1468</v>
      </c>
      <c r="L665" s="1" t="b">
        <v>1</v>
      </c>
      <c r="M665" s="1" t="s">
        <v>191</v>
      </c>
      <c r="N665" s="6">
        <f>IFERROR(__xludf.DUMMYFUNCTION("IF(REGEXMATCH(A665, ""^00-""), 0, IF(AND(EQ(F665, """"), EQ(G665, """")), 1, 0))"),0.0)</f>
        <v>0</v>
      </c>
      <c r="O665" s="6">
        <f>IFERROR(__xludf.DUMMYFUNCTION("IF(REGEXMATCH(A665, ""^00-""), 0, IF(AND(NE(F665, """"), EQ(G665, """")), 1, 0))"),1.0)</f>
        <v>1</v>
      </c>
      <c r="P665" s="6">
        <f>IFERROR(__xludf.DUMMYFUNCTION("IF(REGEXMATCH(A665, ""^00-""), 0, IF(AND(EQ(F665, """"), NE(G665, """")), 1, 0))"),0.0)</f>
        <v>0</v>
      </c>
      <c r="Q665" s="6">
        <f>IFERROR(__xludf.DUMMYFUNCTION("IF(REGEXMATCH(A665, ""^00-""), 0, IF(AND(NE(F665, """"), NE(G665, """")), 1, 0))"),0.0)</f>
        <v>0</v>
      </c>
      <c r="R665" s="6">
        <f t="shared" si="1"/>
        <v>1</v>
      </c>
    </row>
    <row r="666">
      <c r="A666" s="1" t="s">
        <v>84</v>
      </c>
      <c r="B666" s="1" t="s">
        <v>1864</v>
      </c>
      <c r="C666" s="1">
        <v>298.0</v>
      </c>
      <c r="D666" s="1">
        <v>234.0</v>
      </c>
      <c r="E666" s="1">
        <v>532.0</v>
      </c>
      <c r="F666" s="1"/>
      <c r="G666" s="1" t="s">
        <v>1865</v>
      </c>
      <c r="H666" s="1" t="s">
        <v>190</v>
      </c>
      <c r="I666" s="1" t="s">
        <v>172</v>
      </c>
      <c r="J666" s="1" t="s">
        <v>1586</v>
      </c>
      <c r="K666" s="1" t="s">
        <v>1468</v>
      </c>
      <c r="L666" s="1" t="b">
        <v>1</v>
      </c>
      <c r="M666" s="1" t="s">
        <v>191</v>
      </c>
      <c r="N666" s="6">
        <f>IFERROR(__xludf.DUMMYFUNCTION("IF(REGEXMATCH(A666, ""^00-""), 0, IF(AND(EQ(F666, """"), EQ(G666, """")), 1, 0))"),0.0)</f>
        <v>0</v>
      </c>
      <c r="O666" s="6">
        <f>IFERROR(__xludf.DUMMYFUNCTION("IF(REGEXMATCH(A666, ""^00-""), 0, IF(AND(NE(F666, """"), EQ(G666, """")), 1, 0))"),0.0)</f>
        <v>0</v>
      </c>
      <c r="P666" s="6">
        <f>IFERROR(__xludf.DUMMYFUNCTION("IF(REGEXMATCH(A666, ""^00-""), 0, IF(AND(EQ(F666, """"), NE(G666, """")), 1, 0))"),1.0)</f>
        <v>1</v>
      </c>
      <c r="Q666" s="6">
        <f>IFERROR(__xludf.DUMMYFUNCTION("IF(REGEXMATCH(A666, ""^00-""), 0, IF(AND(NE(F666, """"), NE(G666, """")), 1, 0))"),0.0)</f>
        <v>0</v>
      </c>
      <c r="R666" s="6">
        <f t="shared" si="1"/>
        <v>1</v>
      </c>
    </row>
    <row r="667">
      <c r="A667" s="1" t="s">
        <v>84</v>
      </c>
      <c r="B667" s="1" t="s">
        <v>1866</v>
      </c>
      <c r="C667" s="1">
        <v>298.0</v>
      </c>
      <c r="D667" s="1">
        <v>234.0</v>
      </c>
      <c r="E667" s="1">
        <v>532.0</v>
      </c>
      <c r="F667" s="1"/>
      <c r="G667" s="1" t="s">
        <v>1867</v>
      </c>
      <c r="H667" s="1" t="s">
        <v>269</v>
      </c>
      <c r="I667" s="1" t="s">
        <v>172</v>
      </c>
      <c r="J667" s="1" t="s">
        <v>1586</v>
      </c>
      <c r="K667" s="1" t="s">
        <v>1468</v>
      </c>
      <c r="L667" s="1" t="b">
        <v>1</v>
      </c>
      <c r="M667" s="1" t="s">
        <v>1685</v>
      </c>
      <c r="N667" s="6">
        <f>IFERROR(__xludf.DUMMYFUNCTION("IF(REGEXMATCH(A667, ""^00-""), 0, IF(AND(EQ(F667, """"), EQ(G667, """")), 1, 0))"),0.0)</f>
        <v>0</v>
      </c>
      <c r="O667" s="6">
        <f>IFERROR(__xludf.DUMMYFUNCTION("IF(REGEXMATCH(A667, ""^00-""), 0, IF(AND(NE(F667, """"), EQ(G667, """")), 1, 0))"),0.0)</f>
        <v>0</v>
      </c>
      <c r="P667" s="6">
        <f>IFERROR(__xludf.DUMMYFUNCTION("IF(REGEXMATCH(A667, ""^00-""), 0, IF(AND(EQ(F667, """"), NE(G667, """")), 1, 0))"),1.0)</f>
        <v>1</v>
      </c>
      <c r="Q667" s="6">
        <f>IFERROR(__xludf.DUMMYFUNCTION("IF(REGEXMATCH(A667, ""^00-""), 0, IF(AND(NE(F667, """"), NE(G667, """")), 1, 0))"),0.0)</f>
        <v>0</v>
      </c>
      <c r="R667" s="6">
        <f t="shared" si="1"/>
        <v>1</v>
      </c>
    </row>
    <row r="668">
      <c r="A668" s="1" t="s">
        <v>84</v>
      </c>
      <c r="B668" s="1" t="s">
        <v>1868</v>
      </c>
      <c r="C668" s="1">
        <v>298.0</v>
      </c>
      <c r="D668" s="1">
        <v>234.0</v>
      </c>
      <c r="E668" s="1">
        <v>532.0</v>
      </c>
      <c r="F668" s="1"/>
      <c r="G668" s="1" t="s">
        <v>1869</v>
      </c>
      <c r="H668" s="1" t="s">
        <v>269</v>
      </c>
      <c r="I668" s="1" t="s">
        <v>172</v>
      </c>
      <c r="J668" s="1" t="s">
        <v>1586</v>
      </c>
      <c r="K668" s="1" t="s">
        <v>1468</v>
      </c>
      <c r="L668" s="1" t="b">
        <v>1</v>
      </c>
      <c r="M668" s="1" t="s">
        <v>1777</v>
      </c>
      <c r="N668" s="6">
        <f>IFERROR(__xludf.DUMMYFUNCTION("IF(REGEXMATCH(A668, ""^00-""), 0, IF(AND(EQ(F668, """"), EQ(G668, """")), 1, 0))"),0.0)</f>
        <v>0</v>
      </c>
      <c r="O668" s="6">
        <f>IFERROR(__xludf.DUMMYFUNCTION("IF(REGEXMATCH(A668, ""^00-""), 0, IF(AND(NE(F668, """"), EQ(G668, """")), 1, 0))"),0.0)</f>
        <v>0</v>
      </c>
      <c r="P668" s="6">
        <f>IFERROR(__xludf.DUMMYFUNCTION("IF(REGEXMATCH(A668, ""^00-""), 0, IF(AND(EQ(F668, """"), NE(G668, """")), 1, 0))"),1.0)</f>
        <v>1</v>
      </c>
      <c r="Q668" s="6">
        <f>IFERROR(__xludf.DUMMYFUNCTION("IF(REGEXMATCH(A668, ""^00-""), 0, IF(AND(NE(F668, """"), NE(G668, """")), 1, 0))"),0.0)</f>
        <v>0</v>
      </c>
      <c r="R668" s="6">
        <f t="shared" si="1"/>
        <v>1</v>
      </c>
    </row>
    <row r="669">
      <c r="A669" s="1" t="s">
        <v>84</v>
      </c>
      <c r="B669" s="1" t="s">
        <v>1870</v>
      </c>
      <c r="C669" s="1">
        <v>298.0</v>
      </c>
      <c r="D669" s="1">
        <v>234.0</v>
      </c>
      <c r="E669" s="1">
        <v>532.0</v>
      </c>
      <c r="F669" s="1"/>
      <c r="G669" s="1" t="s">
        <v>1871</v>
      </c>
      <c r="H669" s="1" t="s">
        <v>269</v>
      </c>
      <c r="I669" s="1" t="s">
        <v>172</v>
      </c>
      <c r="J669" s="1" t="s">
        <v>1586</v>
      </c>
      <c r="K669" s="1" t="s">
        <v>1468</v>
      </c>
      <c r="L669" s="1" t="b">
        <v>1</v>
      </c>
      <c r="M669" s="1" t="s">
        <v>1777</v>
      </c>
      <c r="N669" s="6">
        <f>IFERROR(__xludf.DUMMYFUNCTION("IF(REGEXMATCH(A669, ""^00-""), 0, IF(AND(EQ(F669, """"), EQ(G669, """")), 1, 0))"),0.0)</f>
        <v>0</v>
      </c>
      <c r="O669" s="6">
        <f>IFERROR(__xludf.DUMMYFUNCTION("IF(REGEXMATCH(A669, ""^00-""), 0, IF(AND(NE(F669, """"), EQ(G669, """")), 1, 0))"),0.0)</f>
        <v>0</v>
      </c>
      <c r="P669" s="6">
        <f>IFERROR(__xludf.DUMMYFUNCTION("IF(REGEXMATCH(A669, ""^00-""), 0, IF(AND(EQ(F669, """"), NE(G669, """")), 1, 0))"),1.0)</f>
        <v>1</v>
      </c>
      <c r="Q669" s="6">
        <f>IFERROR(__xludf.DUMMYFUNCTION("IF(REGEXMATCH(A669, ""^00-""), 0, IF(AND(NE(F669, """"), NE(G669, """")), 1, 0))"),0.0)</f>
        <v>0</v>
      </c>
      <c r="R669" s="6">
        <f t="shared" si="1"/>
        <v>1</v>
      </c>
    </row>
    <row r="670">
      <c r="A670" s="1" t="s">
        <v>86</v>
      </c>
      <c r="B670" s="1" t="s">
        <v>1872</v>
      </c>
      <c r="C670" s="1">
        <v>456.0</v>
      </c>
      <c r="D670" s="1">
        <v>76.0</v>
      </c>
      <c r="E670" s="1">
        <v>532.0</v>
      </c>
      <c r="F670" s="1"/>
      <c r="G670" s="1"/>
      <c r="H670" s="1" t="s">
        <v>182</v>
      </c>
      <c r="I670" s="1" t="s">
        <v>172</v>
      </c>
      <c r="J670" s="1" t="s">
        <v>1586</v>
      </c>
      <c r="K670" s="1" t="s">
        <v>1468</v>
      </c>
      <c r="L670" s="1" t="b">
        <v>1</v>
      </c>
      <c r="M670" s="1" t="s">
        <v>257</v>
      </c>
      <c r="N670" s="6">
        <f>IFERROR(__xludf.DUMMYFUNCTION("IF(REGEXMATCH(A670, ""^00-""), 0, IF(AND(EQ(F670, """"), EQ(G670, """")), 1, 0))"),1.0)</f>
        <v>1</v>
      </c>
      <c r="O670" s="6">
        <f>IFERROR(__xludf.DUMMYFUNCTION("IF(REGEXMATCH(A670, ""^00-""), 0, IF(AND(NE(F670, """"), EQ(G670, """")), 1, 0))"),0.0)</f>
        <v>0</v>
      </c>
      <c r="P670" s="6">
        <f>IFERROR(__xludf.DUMMYFUNCTION("IF(REGEXMATCH(A670, ""^00-""), 0, IF(AND(EQ(F670, """"), NE(G670, """")), 1, 0))"),0.0)</f>
        <v>0</v>
      </c>
      <c r="Q670" s="6">
        <f>IFERROR(__xludf.DUMMYFUNCTION("IF(REGEXMATCH(A670, ""^00-""), 0, IF(AND(NE(F670, """"), NE(G670, """")), 1, 0))"),0.0)</f>
        <v>0</v>
      </c>
      <c r="R670" s="6">
        <f t="shared" si="1"/>
        <v>1</v>
      </c>
    </row>
    <row r="671">
      <c r="A671" s="1" t="s">
        <v>86</v>
      </c>
      <c r="B671" s="1" t="s">
        <v>1873</v>
      </c>
      <c r="C671" s="1">
        <v>456.0</v>
      </c>
      <c r="D671" s="1">
        <v>76.0</v>
      </c>
      <c r="E671" s="1">
        <v>532.0</v>
      </c>
      <c r="F671" s="1"/>
      <c r="G671" s="1"/>
      <c r="H671" s="1" t="s">
        <v>182</v>
      </c>
      <c r="I671" s="1" t="s">
        <v>172</v>
      </c>
      <c r="J671" s="1" t="s">
        <v>1586</v>
      </c>
      <c r="K671" s="1" t="s">
        <v>1468</v>
      </c>
      <c r="L671" s="1" t="b">
        <v>1</v>
      </c>
      <c r="M671" s="1" t="s">
        <v>257</v>
      </c>
      <c r="N671" s="6">
        <f>IFERROR(__xludf.DUMMYFUNCTION("IF(REGEXMATCH(A671, ""^00-""), 0, IF(AND(EQ(F671, """"), EQ(G671, """")), 1, 0))"),1.0)</f>
        <v>1</v>
      </c>
      <c r="O671" s="6">
        <f>IFERROR(__xludf.DUMMYFUNCTION("IF(REGEXMATCH(A671, ""^00-""), 0, IF(AND(NE(F671, """"), EQ(G671, """")), 1, 0))"),0.0)</f>
        <v>0</v>
      </c>
      <c r="P671" s="6">
        <f>IFERROR(__xludf.DUMMYFUNCTION("IF(REGEXMATCH(A671, ""^00-""), 0, IF(AND(EQ(F671, """"), NE(G671, """")), 1, 0))"),0.0)</f>
        <v>0</v>
      </c>
      <c r="Q671" s="6">
        <f>IFERROR(__xludf.DUMMYFUNCTION("IF(REGEXMATCH(A671, ""^00-""), 0, IF(AND(NE(F671, """"), NE(G671, """")), 1, 0))"),0.0)</f>
        <v>0</v>
      </c>
      <c r="R671" s="6">
        <f t="shared" si="1"/>
        <v>1</v>
      </c>
    </row>
    <row r="672">
      <c r="A672" s="1" t="s">
        <v>88</v>
      </c>
      <c r="B672" s="1" t="s">
        <v>1874</v>
      </c>
      <c r="C672" s="1">
        <v>532.0</v>
      </c>
      <c r="D672" s="1">
        <v>0.0</v>
      </c>
      <c r="E672" s="1">
        <v>532.0</v>
      </c>
      <c r="F672" s="1" t="s">
        <v>1875</v>
      </c>
      <c r="G672" s="1" t="s">
        <v>1876</v>
      </c>
      <c r="H672" s="1" t="s">
        <v>235</v>
      </c>
      <c r="I672" s="1" t="s">
        <v>172</v>
      </c>
      <c r="J672" s="1" t="s">
        <v>1877</v>
      </c>
      <c r="K672" s="1" t="s">
        <v>1878</v>
      </c>
      <c r="L672" s="1"/>
      <c r="M672" s="1" t="s">
        <v>1874</v>
      </c>
      <c r="N672" s="6">
        <f>IFERROR(__xludf.DUMMYFUNCTION("IF(REGEXMATCH(A672, ""^00-""), 0, IF(AND(EQ(F672, """"), EQ(G672, """")), 1, 0))"),0.0)</f>
        <v>0</v>
      </c>
      <c r="O672" s="6">
        <f>IFERROR(__xludf.DUMMYFUNCTION("IF(REGEXMATCH(A672, ""^00-""), 0, IF(AND(NE(F672, """"), EQ(G672, """")), 1, 0))"),0.0)</f>
        <v>0</v>
      </c>
      <c r="P672" s="6">
        <f>IFERROR(__xludf.DUMMYFUNCTION("IF(REGEXMATCH(A672, ""^00-""), 0, IF(AND(EQ(F672, """"), NE(G672, """")), 1, 0))"),0.0)</f>
        <v>0</v>
      </c>
      <c r="Q672" s="6">
        <f>IFERROR(__xludf.DUMMYFUNCTION("IF(REGEXMATCH(A672, ""^00-""), 0, IF(AND(NE(F672, """"), NE(G672, """")), 1, 0))"),1.0)</f>
        <v>1</v>
      </c>
      <c r="R672" s="6">
        <f t="shared" si="1"/>
        <v>1</v>
      </c>
    </row>
    <row r="673">
      <c r="A673" s="1" t="s">
        <v>88</v>
      </c>
      <c r="B673" s="1" t="s">
        <v>1879</v>
      </c>
      <c r="C673" s="1">
        <v>532.0</v>
      </c>
      <c r="D673" s="1">
        <v>0.0</v>
      </c>
      <c r="E673" s="1">
        <v>532.0</v>
      </c>
      <c r="F673" s="1" t="s">
        <v>1880</v>
      </c>
      <c r="G673" s="1" t="s">
        <v>1881</v>
      </c>
      <c r="H673" s="1" t="s">
        <v>250</v>
      </c>
      <c r="I673" s="1" t="s">
        <v>172</v>
      </c>
      <c r="J673" s="1" t="s">
        <v>1877</v>
      </c>
      <c r="K673" s="1" t="s">
        <v>1878</v>
      </c>
      <c r="L673" s="1"/>
      <c r="M673" s="1" t="s">
        <v>250</v>
      </c>
      <c r="N673" s="6">
        <f>IFERROR(__xludf.DUMMYFUNCTION("IF(REGEXMATCH(A673, ""^00-""), 0, IF(AND(EQ(F673, """"), EQ(G673, """")), 1, 0))"),0.0)</f>
        <v>0</v>
      </c>
      <c r="O673" s="6">
        <f>IFERROR(__xludf.DUMMYFUNCTION("IF(REGEXMATCH(A673, ""^00-""), 0, IF(AND(NE(F673, """"), EQ(G673, """")), 1, 0))"),0.0)</f>
        <v>0</v>
      </c>
      <c r="P673" s="6">
        <f>IFERROR(__xludf.DUMMYFUNCTION("IF(REGEXMATCH(A673, ""^00-""), 0, IF(AND(EQ(F673, """"), NE(G673, """")), 1, 0))"),0.0)</f>
        <v>0</v>
      </c>
      <c r="Q673" s="6">
        <f>IFERROR(__xludf.DUMMYFUNCTION("IF(REGEXMATCH(A673, ""^00-""), 0, IF(AND(NE(F673, """"), NE(G673, """")), 1, 0))"),1.0)</f>
        <v>1</v>
      </c>
      <c r="R673" s="6">
        <f t="shared" si="1"/>
        <v>1</v>
      </c>
    </row>
    <row r="674">
      <c r="A674" s="1" t="s">
        <v>88</v>
      </c>
      <c r="B674" s="1" t="s">
        <v>1882</v>
      </c>
      <c r="C674" s="1">
        <v>426.0</v>
      </c>
      <c r="D674" s="1">
        <v>106.0</v>
      </c>
      <c r="E674" s="1">
        <v>532.0</v>
      </c>
      <c r="F674" s="1" t="s">
        <v>1883</v>
      </c>
      <c r="G674" s="1" t="s">
        <v>1884</v>
      </c>
      <c r="H674" s="1" t="s">
        <v>250</v>
      </c>
      <c r="I674" s="1" t="s">
        <v>172</v>
      </c>
      <c r="J674" s="1" t="s">
        <v>1877</v>
      </c>
      <c r="K674" s="1" t="s">
        <v>1878</v>
      </c>
      <c r="L674" s="1"/>
      <c r="M674" s="1" t="s">
        <v>250</v>
      </c>
      <c r="N674" s="6">
        <f>IFERROR(__xludf.DUMMYFUNCTION("IF(REGEXMATCH(A674, ""^00-""), 0, IF(AND(EQ(F674, """"), EQ(G674, """")), 1, 0))"),0.0)</f>
        <v>0</v>
      </c>
      <c r="O674" s="6">
        <f>IFERROR(__xludf.DUMMYFUNCTION("IF(REGEXMATCH(A674, ""^00-""), 0, IF(AND(NE(F674, """"), EQ(G674, """")), 1, 0))"),0.0)</f>
        <v>0</v>
      </c>
      <c r="P674" s="6">
        <f>IFERROR(__xludf.DUMMYFUNCTION("IF(REGEXMATCH(A674, ""^00-""), 0, IF(AND(EQ(F674, """"), NE(G674, """")), 1, 0))"),0.0)</f>
        <v>0</v>
      </c>
      <c r="Q674" s="6">
        <f>IFERROR(__xludf.DUMMYFUNCTION("IF(REGEXMATCH(A674, ""^00-""), 0, IF(AND(NE(F674, """"), NE(G674, """")), 1, 0))"),1.0)</f>
        <v>1</v>
      </c>
      <c r="R674" s="6">
        <f t="shared" si="1"/>
        <v>1</v>
      </c>
    </row>
    <row r="675">
      <c r="A675" s="1" t="s">
        <v>88</v>
      </c>
      <c r="B675" s="1" t="s">
        <v>1885</v>
      </c>
      <c r="C675" s="1">
        <v>471.0</v>
      </c>
      <c r="D675" s="1">
        <v>61.0</v>
      </c>
      <c r="E675" s="1">
        <v>532.0</v>
      </c>
      <c r="F675" s="1" t="s">
        <v>1886</v>
      </c>
      <c r="G675" s="1" t="s">
        <v>1887</v>
      </c>
      <c r="H675" s="1" t="s">
        <v>182</v>
      </c>
      <c r="I675" s="1" t="s">
        <v>172</v>
      </c>
      <c r="J675" s="1" t="s">
        <v>1877</v>
      </c>
      <c r="K675" s="1" t="s">
        <v>1878</v>
      </c>
      <c r="L675" s="1"/>
      <c r="M675" s="1" t="s">
        <v>257</v>
      </c>
      <c r="N675" s="6">
        <f>IFERROR(__xludf.DUMMYFUNCTION("IF(REGEXMATCH(A675, ""^00-""), 0, IF(AND(EQ(F675, """"), EQ(G675, """")), 1, 0))"),0.0)</f>
        <v>0</v>
      </c>
      <c r="O675" s="6">
        <f>IFERROR(__xludf.DUMMYFUNCTION("IF(REGEXMATCH(A675, ""^00-""), 0, IF(AND(NE(F675, """"), EQ(G675, """")), 1, 0))"),0.0)</f>
        <v>0</v>
      </c>
      <c r="P675" s="6">
        <f>IFERROR(__xludf.DUMMYFUNCTION("IF(REGEXMATCH(A675, ""^00-""), 0, IF(AND(EQ(F675, """"), NE(G675, """")), 1, 0))"),0.0)</f>
        <v>0</v>
      </c>
      <c r="Q675" s="6">
        <f>IFERROR(__xludf.DUMMYFUNCTION("IF(REGEXMATCH(A675, ""^00-""), 0, IF(AND(NE(F675, """"), NE(G675, """")), 1, 0))"),1.0)</f>
        <v>1</v>
      </c>
      <c r="R675" s="6">
        <f t="shared" si="1"/>
        <v>1</v>
      </c>
    </row>
    <row r="676">
      <c r="A676" s="1" t="s">
        <v>88</v>
      </c>
      <c r="B676" s="1" t="s">
        <v>1888</v>
      </c>
      <c r="C676" s="1">
        <v>442.0</v>
      </c>
      <c r="D676" s="1">
        <v>90.0</v>
      </c>
      <c r="E676" s="1">
        <v>532.0</v>
      </c>
      <c r="F676" s="1" t="s">
        <v>1889</v>
      </c>
      <c r="G676" s="1" t="s">
        <v>1890</v>
      </c>
      <c r="H676" s="1" t="s">
        <v>182</v>
      </c>
      <c r="I676" s="1" t="s">
        <v>172</v>
      </c>
      <c r="J676" s="1" t="s">
        <v>1877</v>
      </c>
      <c r="K676" s="1" t="s">
        <v>1878</v>
      </c>
      <c r="L676" s="1"/>
      <c r="M676" s="1" t="s">
        <v>257</v>
      </c>
      <c r="N676" s="6">
        <f>IFERROR(__xludf.DUMMYFUNCTION("IF(REGEXMATCH(A676, ""^00-""), 0, IF(AND(EQ(F676, """"), EQ(G676, """")), 1, 0))"),0.0)</f>
        <v>0</v>
      </c>
      <c r="O676" s="6">
        <f>IFERROR(__xludf.DUMMYFUNCTION("IF(REGEXMATCH(A676, ""^00-""), 0, IF(AND(NE(F676, """"), EQ(G676, """")), 1, 0))"),0.0)</f>
        <v>0</v>
      </c>
      <c r="P676" s="6">
        <f>IFERROR(__xludf.DUMMYFUNCTION("IF(REGEXMATCH(A676, ""^00-""), 0, IF(AND(EQ(F676, """"), NE(G676, """")), 1, 0))"),0.0)</f>
        <v>0</v>
      </c>
      <c r="Q676" s="6">
        <f>IFERROR(__xludf.DUMMYFUNCTION("IF(REGEXMATCH(A676, ""^00-""), 0, IF(AND(NE(F676, """"), NE(G676, """")), 1, 0))"),1.0)</f>
        <v>1</v>
      </c>
      <c r="R676" s="6">
        <f t="shared" si="1"/>
        <v>1</v>
      </c>
    </row>
    <row r="677">
      <c r="A677" s="1" t="s">
        <v>88</v>
      </c>
      <c r="B677" s="1" t="s">
        <v>1891</v>
      </c>
      <c r="C677" s="1">
        <v>446.0</v>
      </c>
      <c r="D677" s="1">
        <v>86.0</v>
      </c>
      <c r="E677" s="1">
        <v>532.0</v>
      </c>
      <c r="F677" s="1" t="s">
        <v>1892</v>
      </c>
      <c r="G677" s="1" t="s">
        <v>1893</v>
      </c>
      <c r="H677" s="1" t="s">
        <v>182</v>
      </c>
      <c r="I677" s="1" t="s">
        <v>172</v>
      </c>
      <c r="J677" s="1" t="s">
        <v>1877</v>
      </c>
      <c r="K677" s="1" t="s">
        <v>1878</v>
      </c>
      <c r="L677" s="1"/>
      <c r="M677" s="1" t="s">
        <v>257</v>
      </c>
      <c r="N677" s="6">
        <f>IFERROR(__xludf.DUMMYFUNCTION("IF(REGEXMATCH(A677, ""^00-""), 0, IF(AND(EQ(F677, """"), EQ(G677, """")), 1, 0))"),0.0)</f>
        <v>0</v>
      </c>
      <c r="O677" s="6">
        <f>IFERROR(__xludf.DUMMYFUNCTION("IF(REGEXMATCH(A677, ""^00-""), 0, IF(AND(NE(F677, """"), EQ(G677, """")), 1, 0))"),0.0)</f>
        <v>0</v>
      </c>
      <c r="P677" s="6">
        <f>IFERROR(__xludf.DUMMYFUNCTION("IF(REGEXMATCH(A677, ""^00-""), 0, IF(AND(EQ(F677, """"), NE(G677, """")), 1, 0))"),0.0)</f>
        <v>0</v>
      </c>
      <c r="Q677" s="6">
        <f>IFERROR(__xludf.DUMMYFUNCTION("IF(REGEXMATCH(A677, ""^00-""), 0, IF(AND(NE(F677, """"), NE(G677, """")), 1, 0))"),1.0)</f>
        <v>1</v>
      </c>
      <c r="R677" s="6">
        <f t="shared" si="1"/>
        <v>1</v>
      </c>
    </row>
    <row r="678">
      <c r="A678" s="1" t="s">
        <v>88</v>
      </c>
      <c r="B678" s="1" t="s">
        <v>1894</v>
      </c>
      <c r="C678" s="1">
        <v>42.0</v>
      </c>
      <c r="D678" s="1">
        <v>490.0</v>
      </c>
      <c r="E678" s="1">
        <v>532.0</v>
      </c>
      <c r="F678" s="1" t="s">
        <v>1895</v>
      </c>
      <c r="G678" s="1" t="s">
        <v>1896</v>
      </c>
      <c r="H678" s="1" t="s">
        <v>235</v>
      </c>
      <c r="I678" s="1" t="s">
        <v>172</v>
      </c>
      <c r="J678" s="1" t="s">
        <v>1877</v>
      </c>
      <c r="K678" s="1" t="s">
        <v>1878</v>
      </c>
      <c r="L678" s="1"/>
      <c r="M678" s="1" t="s">
        <v>1894</v>
      </c>
      <c r="N678" s="6">
        <f>IFERROR(__xludf.DUMMYFUNCTION("IF(REGEXMATCH(A678, ""^00-""), 0, IF(AND(EQ(F678, """"), EQ(G678, """")), 1, 0))"),0.0)</f>
        <v>0</v>
      </c>
      <c r="O678" s="6">
        <f>IFERROR(__xludf.DUMMYFUNCTION("IF(REGEXMATCH(A678, ""^00-""), 0, IF(AND(NE(F678, """"), EQ(G678, """")), 1, 0))"),0.0)</f>
        <v>0</v>
      </c>
      <c r="P678" s="6">
        <f>IFERROR(__xludf.DUMMYFUNCTION("IF(REGEXMATCH(A678, ""^00-""), 0, IF(AND(EQ(F678, """"), NE(G678, """")), 1, 0))"),0.0)</f>
        <v>0</v>
      </c>
      <c r="Q678" s="6">
        <f>IFERROR(__xludf.DUMMYFUNCTION("IF(REGEXMATCH(A678, ""^00-""), 0, IF(AND(NE(F678, """"), NE(G678, """")), 1, 0))"),1.0)</f>
        <v>1</v>
      </c>
      <c r="R678" s="6">
        <f t="shared" si="1"/>
        <v>1</v>
      </c>
    </row>
    <row r="679">
      <c r="A679" s="1" t="s">
        <v>88</v>
      </c>
      <c r="B679" s="1" t="s">
        <v>1897</v>
      </c>
      <c r="C679" s="1">
        <v>39.0</v>
      </c>
      <c r="D679" s="1">
        <v>493.0</v>
      </c>
      <c r="E679" s="1">
        <v>532.0</v>
      </c>
      <c r="F679" s="1" t="s">
        <v>1898</v>
      </c>
      <c r="G679" s="1" t="s">
        <v>1884</v>
      </c>
      <c r="H679" s="1" t="s">
        <v>250</v>
      </c>
      <c r="I679" s="1" t="s">
        <v>172</v>
      </c>
      <c r="J679" s="1" t="s">
        <v>1877</v>
      </c>
      <c r="K679" s="1" t="s">
        <v>1878</v>
      </c>
      <c r="L679" s="1"/>
      <c r="M679" s="1" t="s">
        <v>250</v>
      </c>
      <c r="N679" s="6">
        <f>IFERROR(__xludf.DUMMYFUNCTION("IF(REGEXMATCH(A679, ""^00-""), 0, IF(AND(EQ(F679, """"), EQ(G679, """")), 1, 0))"),0.0)</f>
        <v>0</v>
      </c>
      <c r="O679" s="6">
        <f>IFERROR(__xludf.DUMMYFUNCTION("IF(REGEXMATCH(A679, ""^00-""), 0, IF(AND(NE(F679, """"), EQ(G679, """")), 1, 0))"),0.0)</f>
        <v>0</v>
      </c>
      <c r="P679" s="6">
        <f>IFERROR(__xludf.DUMMYFUNCTION("IF(REGEXMATCH(A679, ""^00-""), 0, IF(AND(EQ(F679, """"), NE(G679, """")), 1, 0))"),0.0)</f>
        <v>0</v>
      </c>
      <c r="Q679" s="6">
        <f>IFERROR(__xludf.DUMMYFUNCTION("IF(REGEXMATCH(A679, ""^00-""), 0, IF(AND(NE(F679, """"), NE(G679, """")), 1, 0))"),1.0)</f>
        <v>1</v>
      </c>
      <c r="R679" s="6">
        <f t="shared" si="1"/>
        <v>1</v>
      </c>
    </row>
    <row r="680">
      <c r="A680" s="1" t="s">
        <v>88</v>
      </c>
      <c r="B680" s="1" t="s">
        <v>1899</v>
      </c>
      <c r="C680" s="1">
        <v>40.0</v>
      </c>
      <c r="D680" s="1">
        <v>492.0</v>
      </c>
      <c r="E680" s="1">
        <v>532.0</v>
      </c>
      <c r="F680" s="1" t="s">
        <v>1900</v>
      </c>
      <c r="G680" s="1" t="s">
        <v>1887</v>
      </c>
      <c r="H680" s="1" t="s">
        <v>182</v>
      </c>
      <c r="I680" s="1" t="s">
        <v>172</v>
      </c>
      <c r="J680" s="1" t="s">
        <v>1877</v>
      </c>
      <c r="K680" s="1" t="s">
        <v>1878</v>
      </c>
      <c r="L680" s="1"/>
      <c r="M680" s="1" t="s">
        <v>257</v>
      </c>
      <c r="N680" s="6">
        <f>IFERROR(__xludf.DUMMYFUNCTION("IF(REGEXMATCH(A680, ""^00-""), 0, IF(AND(EQ(F680, """"), EQ(G680, """")), 1, 0))"),0.0)</f>
        <v>0</v>
      </c>
      <c r="O680" s="6">
        <f>IFERROR(__xludf.DUMMYFUNCTION("IF(REGEXMATCH(A680, ""^00-""), 0, IF(AND(NE(F680, """"), EQ(G680, """")), 1, 0))"),0.0)</f>
        <v>0</v>
      </c>
      <c r="P680" s="6">
        <f>IFERROR(__xludf.DUMMYFUNCTION("IF(REGEXMATCH(A680, ""^00-""), 0, IF(AND(EQ(F680, """"), NE(G680, """")), 1, 0))"),0.0)</f>
        <v>0</v>
      </c>
      <c r="Q680" s="6">
        <f>IFERROR(__xludf.DUMMYFUNCTION("IF(REGEXMATCH(A680, ""^00-""), 0, IF(AND(NE(F680, """"), NE(G680, """")), 1, 0))"),1.0)</f>
        <v>1</v>
      </c>
      <c r="R680" s="6">
        <f t="shared" si="1"/>
        <v>1</v>
      </c>
    </row>
    <row r="681">
      <c r="A681" s="1" t="s">
        <v>88</v>
      </c>
      <c r="B681" s="1" t="s">
        <v>1901</v>
      </c>
      <c r="C681" s="1">
        <v>34.0</v>
      </c>
      <c r="D681" s="1">
        <v>498.0</v>
      </c>
      <c r="E681" s="1">
        <v>532.0</v>
      </c>
      <c r="F681" s="1" t="s">
        <v>1902</v>
      </c>
      <c r="G681" s="1" t="s">
        <v>1890</v>
      </c>
      <c r="H681" s="1" t="s">
        <v>182</v>
      </c>
      <c r="I681" s="1" t="s">
        <v>172</v>
      </c>
      <c r="J681" s="1" t="s">
        <v>1877</v>
      </c>
      <c r="K681" s="1" t="s">
        <v>1878</v>
      </c>
      <c r="L681" s="1"/>
      <c r="M681" s="1" t="s">
        <v>257</v>
      </c>
      <c r="N681" s="6">
        <f>IFERROR(__xludf.DUMMYFUNCTION("IF(REGEXMATCH(A681, ""^00-""), 0, IF(AND(EQ(F681, """"), EQ(G681, """")), 1, 0))"),0.0)</f>
        <v>0</v>
      </c>
      <c r="O681" s="6">
        <f>IFERROR(__xludf.DUMMYFUNCTION("IF(REGEXMATCH(A681, ""^00-""), 0, IF(AND(NE(F681, """"), EQ(G681, """")), 1, 0))"),0.0)</f>
        <v>0</v>
      </c>
      <c r="P681" s="6">
        <f>IFERROR(__xludf.DUMMYFUNCTION("IF(REGEXMATCH(A681, ""^00-""), 0, IF(AND(EQ(F681, """"), NE(G681, """")), 1, 0))"),0.0)</f>
        <v>0</v>
      </c>
      <c r="Q681" s="6">
        <f>IFERROR(__xludf.DUMMYFUNCTION("IF(REGEXMATCH(A681, ""^00-""), 0, IF(AND(NE(F681, """"), NE(G681, """")), 1, 0))"),1.0)</f>
        <v>1</v>
      </c>
      <c r="R681" s="6">
        <f t="shared" si="1"/>
        <v>1</v>
      </c>
    </row>
    <row r="682">
      <c r="A682" s="1" t="s">
        <v>88</v>
      </c>
      <c r="B682" s="1" t="s">
        <v>1903</v>
      </c>
      <c r="C682" s="1">
        <v>35.0</v>
      </c>
      <c r="D682" s="1">
        <v>497.0</v>
      </c>
      <c r="E682" s="1">
        <v>532.0</v>
      </c>
      <c r="F682" s="1" t="s">
        <v>1904</v>
      </c>
      <c r="G682" s="1" t="s">
        <v>1893</v>
      </c>
      <c r="H682" s="1" t="s">
        <v>182</v>
      </c>
      <c r="I682" s="1" t="s">
        <v>172</v>
      </c>
      <c r="J682" s="1" t="s">
        <v>1877</v>
      </c>
      <c r="K682" s="1" t="s">
        <v>1878</v>
      </c>
      <c r="L682" s="1"/>
      <c r="M682" s="1" t="s">
        <v>257</v>
      </c>
      <c r="N682" s="6">
        <f>IFERROR(__xludf.DUMMYFUNCTION("IF(REGEXMATCH(A682, ""^00-""), 0, IF(AND(EQ(F682, """"), EQ(G682, """")), 1, 0))"),0.0)</f>
        <v>0</v>
      </c>
      <c r="O682" s="6">
        <f>IFERROR(__xludf.DUMMYFUNCTION("IF(REGEXMATCH(A682, ""^00-""), 0, IF(AND(NE(F682, """"), EQ(G682, """")), 1, 0))"),0.0)</f>
        <v>0</v>
      </c>
      <c r="P682" s="6">
        <f>IFERROR(__xludf.DUMMYFUNCTION("IF(REGEXMATCH(A682, ""^00-""), 0, IF(AND(EQ(F682, """"), NE(G682, """")), 1, 0))"),0.0)</f>
        <v>0</v>
      </c>
      <c r="Q682" s="6">
        <f>IFERROR(__xludf.DUMMYFUNCTION("IF(REGEXMATCH(A682, ""^00-""), 0, IF(AND(NE(F682, """"), NE(G682, """")), 1, 0))"),1.0)</f>
        <v>1</v>
      </c>
      <c r="R682" s="6">
        <f t="shared" si="1"/>
        <v>1</v>
      </c>
    </row>
    <row r="683">
      <c r="A683" s="1" t="s">
        <v>88</v>
      </c>
      <c r="B683" s="1" t="s">
        <v>1905</v>
      </c>
      <c r="C683" s="1">
        <v>41.0</v>
      </c>
      <c r="D683" s="1">
        <v>491.0</v>
      </c>
      <c r="E683" s="1">
        <v>532.0</v>
      </c>
      <c r="F683" s="1" t="s">
        <v>1906</v>
      </c>
      <c r="G683" s="1" t="s">
        <v>1907</v>
      </c>
      <c r="H683" s="1" t="s">
        <v>235</v>
      </c>
      <c r="I683" s="1" t="s">
        <v>172</v>
      </c>
      <c r="J683" s="1" t="s">
        <v>1877</v>
      </c>
      <c r="K683" s="1" t="s">
        <v>1878</v>
      </c>
      <c r="L683" s="1"/>
      <c r="M683" s="1" t="s">
        <v>1905</v>
      </c>
      <c r="N683" s="6">
        <f>IFERROR(__xludf.DUMMYFUNCTION("IF(REGEXMATCH(A683, ""^00-""), 0, IF(AND(EQ(F683, """"), EQ(G683, """")), 1, 0))"),0.0)</f>
        <v>0</v>
      </c>
      <c r="O683" s="6">
        <f>IFERROR(__xludf.DUMMYFUNCTION("IF(REGEXMATCH(A683, ""^00-""), 0, IF(AND(NE(F683, """"), EQ(G683, """")), 1, 0))"),0.0)</f>
        <v>0</v>
      </c>
      <c r="P683" s="6">
        <f>IFERROR(__xludf.DUMMYFUNCTION("IF(REGEXMATCH(A683, ""^00-""), 0, IF(AND(EQ(F683, """"), NE(G683, """")), 1, 0))"),0.0)</f>
        <v>0</v>
      </c>
      <c r="Q683" s="6">
        <f>IFERROR(__xludf.DUMMYFUNCTION("IF(REGEXMATCH(A683, ""^00-""), 0, IF(AND(NE(F683, """"), NE(G683, """")), 1, 0))"),1.0)</f>
        <v>1</v>
      </c>
      <c r="R683" s="6">
        <f t="shared" si="1"/>
        <v>1</v>
      </c>
    </row>
    <row r="684">
      <c r="A684" s="1" t="s">
        <v>88</v>
      </c>
      <c r="B684" s="1" t="s">
        <v>1908</v>
      </c>
      <c r="C684" s="1">
        <v>65.0</v>
      </c>
      <c r="D684" s="1">
        <v>467.0</v>
      </c>
      <c r="E684" s="1">
        <v>532.0</v>
      </c>
      <c r="F684" s="1" t="s">
        <v>1909</v>
      </c>
      <c r="G684" s="1" t="s">
        <v>1910</v>
      </c>
      <c r="H684" s="1" t="s">
        <v>250</v>
      </c>
      <c r="I684" s="1" t="s">
        <v>172</v>
      </c>
      <c r="J684" s="1" t="s">
        <v>1877</v>
      </c>
      <c r="K684" s="1" t="s">
        <v>1878</v>
      </c>
      <c r="L684" s="1"/>
      <c r="M684" s="1" t="s">
        <v>250</v>
      </c>
      <c r="N684" s="6">
        <f>IFERROR(__xludf.DUMMYFUNCTION("IF(REGEXMATCH(A684, ""^00-""), 0, IF(AND(EQ(F684, """"), EQ(G684, """")), 1, 0))"),0.0)</f>
        <v>0</v>
      </c>
      <c r="O684" s="6">
        <f>IFERROR(__xludf.DUMMYFUNCTION("IF(REGEXMATCH(A684, ""^00-""), 0, IF(AND(NE(F684, """"), EQ(G684, """")), 1, 0))"),0.0)</f>
        <v>0</v>
      </c>
      <c r="P684" s="6">
        <f>IFERROR(__xludf.DUMMYFUNCTION("IF(REGEXMATCH(A684, ""^00-""), 0, IF(AND(EQ(F684, """"), NE(G684, """")), 1, 0))"),0.0)</f>
        <v>0</v>
      </c>
      <c r="Q684" s="6">
        <f>IFERROR(__xludf.DUMMYFUNCTION("IF(REGEXMATCH(A684, ""^00-""), 0, IF(AND(NE(F684, """"), NE(G684, """")), 1, 0))"),1.0)</f>
        <v>1</v>
      </c>
      <c r="R684" s="6">
        <f t="shared" si="1"/>
        <v>1</v>
      </c>
    </row>
    <row r="685">
      <c r="A685" s="1" t="s">
        <v>88</v>
      </c>
      <c r="B685" s="1" t="s">
        <v>1911</v>
      </c>
      <c r="C685" s="1">
        <v>65.0</v>
      </c>
      <c r="D685" s="1">
        <v>467.0</v>
      </c>
      <c r="E685" s="1">
        <v>532.0</v>
      </c>
      <c r="F685" s="1" t="s">
        <v>1912</v>
      </c>
      <c r="G685" s="1" t="s">
        <v>1913</v>
      </c>
      <c r="H685" s="1" t="s">
        <v>254</v>
      </c>
      <c r="I685" s="1" t="s">
        <v>172</v>
      </c>
      <c r="J685" s="1" t="s">
        <v>1877</v>
      </c>
      <c r="K685" s="1" t="s">
        <v>1878</v>
      </c>
      <c r="L685" s="1"/>
      <c r="M685" s="1" t="s">
        <v>254</v>
      </c>
      <c r="N685" s="6">
        <f>IFERROR(__xludf.DUMMYFUNCTION("IF(REGEXMATCH(A685, ""^00-""), 0, IF(AND(EQ(F685, """"), EQ(G685, """")), 1, 0))"),0.0)</f>
        <v>0</v>
      </c>
      <c r="O685" s="6">
        <f>IFERROR(__xludf.DUMMYFUNCTION("IF(REGEXMATCH(A685, ""^00-""), 0, IF(AND(NE(F685, """"), EQ(G685, """")), 1, 0))"),0.0)</f>
        <v>0</v>
      </c>
      <c r="P685" s="6">
        <f>IFERROR(__xludf.DUMMYFUNCTION("IF(REGEXMATCH(A685, ""^00-""), 0, IF(AND(EQ(F685, """"), NE(G685, """")), 1, 0))"),0.0)</f>
        <v>0</v>
      </c>
      <c r="Q685" s="6">
        <f>IFERROR(__xludf.DUMMYFUNCTION("IF(REGEXMATCH(A685, ""^00-""), 0, IF(AND(NE(F685, """"), NE(G685, """")), 1, 0))"),1.0)</f>
        <v>1</v>
      </c>
      <c r="R685" s="6">
        <f t="shared" si="1"/>
        <v>1</v>
      </c>
    </row>
    <row r="686">
      <c r="A686" s="1" t="s">
        <v>88</v>
      </c>
      <c r="B686" s="1" t="s">
        <v>1914</v>
      </c>
      <c r="C686" s="1">
        <v>49.0</v>
      </c>
      <c r="D686" s="1">
        <v>483.0</v>
      </c>
      <c r="E686" s="1">
        <v>532.0</v>
      </c>
      <c r="F686" s="1"/>
      <c r="G686" s="1" t="s">
        <v>1915</v>
      </c>
      <c r="H686" s="1" t="s">
        <v>182</v>
      </c>
      <c r="I686" s="1" t="s">
        <v>172</v>
      </c>
      <c r="J686" s="1" t="s">
        <v>1877</v>
      </c>
      <c r="K686" s="1" t="s">
        <v>1878</v>
      </c>
      <c r="L686" s="1"/>
      <c r="M686" s="1" t="s">
        <v>185</v>
      </c>
      <c r="N686" s="6">
        <f>IFERROR(__xludf.DUMMYFUNCTION("IF(REGEXMATCH(A686, ""^00-""), 0, IF(AND(EQ(F686, """"), EQ(G686, """")), 1, 0))"),0.0)</f>
        <v>0</v>
      </c>
      <c r="O686" s="6">
        <f>IFERROR(__xludf.DUMMYFUNCTION("IF(REGEXMATCH(A686, ""^00-""), 0, IF(AND(NE(F686, """"), EQ(G686, """")), 1, 0))"),0.0)</f>
        <v>0</v>
      </c>
      <c r="P686" s="6">
        <f>IFERROR(__xludf.DUMMYFUNCTION("IF(REGEXMATCH(A686, ""^00-""), 0, IF(AND(EQ(F686, """"), NE(G686, """")), 1, 0))"),1.0)</f>
        <v>1</v>
      </c>
      <c r="Q686" s="6">
        <f>IFERROR(__xludf.DUMMYFUNCTION("IF(REGEXMATCH(A686, ""^00-""), 0, IF(AND(NE(F686, """"), NE(G686, """")), 1, 0))"),0.0)</f>
        <v>0</v>
      </c>
      <c r="R686" s="6">
        <f t="shared" si="1"/>
        <v>1</v>
      </c>
    </row>
    <row r="687">
      <c r="A687" s="1" t="s">
        <v>88</v>
      </c>
      <c r="B687" s="1" t="s">
        <v>1916</v>
      </c>
      <c r="C687" s="1">
        <v>63.0</v>
      </c>
      <c r="D687" s="1">
        <v>469.0</v>
      </c>
      <c r="E687" s="1">
        <v>532.0</v>
      </c>
      <c r="F687" s="1" t="s">
        <v>1917</v>
      </c>
      <c r="G687" s="1" t="s">
        <v>1918</v>
      </c>
      <c r="H687" s="1" t="s">
        <v>190</v>
      </c>
      <c r="I687" s="1" t="s">
        <v>172</v>
      </c>
      <c r="J687" s="1" t="s">
        <v>1877</v>
      </c>
      <c r="K687" s="1" t="s">
        <v>1878</v>
      </c>
      <c r="L687" s="1"/>
      <c r="M687" s="1" t="s">
        <v>191</v>
      </c>
      <c r="N687" s="6">
        <f>IFERROR(__xludf.DUMMYFUNCTION("IF(REGEXMATCH(A687, ""^00-""), 0, IF(AND(EQ(F687, """"), EQ(G687, """")), 1, 0))"),0.0)</f>
        <v>0</v>
      </c>
      <c r="O687" s="6">
        <f>IFERROR(__xludf.DUMMYFUNCTION("IF(REGEXMATCH(A687, ""^00-""), 0, IF(AND(NE(F687, """"), EQ(G687, """")), 1, 0))"),0.0)</f>
        <v>0</v>
      </c>
      <c r="P687" s="6">
        <f>IFERROR(__xludf.DUMMYFUNCTION("IF(REGEXMATCH(A687, ""^00-""), 0, IF(AND(EQ(F687, """"), NE(G687, """")), 1, 0))"),0.0)</f>
        <v>0</v>
      </c>
      <c r="Q687" s="6">
        <f>IFERROR(__xludf.DUMMYFUNCTION("IF(REGEXMATCH(A687, ""^00-""), 0, IF(AND(NE(F687, """"), NE(G687, """")), 1, 0))"),1.0)</f>
        <v>1</v>
      </c>
      <c r="R687" s="6">
        <f t="shared" si="1"/>
        <v>1</v>
      </c>
    </row>
    <row r="688">
      <c r="A688" s="1" t="s">
        <v>88</v>
      </c>
      <c r="B688" s="1" t="s">
        <v>1919</v>
      </c>
      <c r="C688" s="1">
        <v>65.0</v>
      </c>
      <c r="D688" s="1">
        <v>467.0</v>
      </c>
      <c r="E688" s="1">
        <v>532.0</v>
      </c>
      <c r="F688" s="1" t="s">
        <v>1920</v>
      </c>
      <c r="G688" s="1" t="s">
        <v>1921</v>
      </c>
      <c r="H688" s="1" t="s">
        <v>235</v>
      </c>
      <c r="I688" s="1" t="s">
        <v>172</v>
      </c>
      <c r="J688" s="1" t="s">
        <v>1877</v>
      </c>
      <c r="K688" s="1" t="s">
        <v>1878</v>
      </c>
      <c r="L688" s="1"/>
      <c r="M688" s="1" t="s">
        <v>1919</v>
      </c>
      <c r="N688" s="6">
        <f>IFERROR(__xludf.DUMMYFUNCTION("IF(REGEXMATCH(A688, ""^00-""), 0, IF(AND(EQ(F688, """"), EQ(G688, """")), 1, 0))"),0.0)</f>
        <v>0</v>
      </c>
      <c r="O688" s="6">
        <f>IFERROR(__xludf.DUMMYFUNCTION("IF(REGEXMATCH(A688, ""^00-""), 0, IF(AND(NE(F688, """"), EQ(G688, """")), 1, 0))"),0.0)</f>
        <v>0</v>
      </c>
      <c r="P688" s="6">
        <f>IFERROR(__xludf.DUMMYFUNCTION("IF(REGEXMATCH(A688, ""^00-""), 0, IF(AND(EQ(F688, """"), NE(G688, """")), 1, 0))"),0.0)</f>
        <v>0</v>
      </c>
      <c r="Q688" s="6">
        <f>IFERROR(__xludf.DUMMYFUNCTION("IF(REGEXMATCH(A688, ""^00-""), 0, IF(AND(NE(F688, """"), NE(G688, """")), 1, 0))"),1.0)</f>
        <v>1</v>
      </c>
      <c r="R688" s="6">
        <f t="shared" si="1"/>
        <v>1</v>
      </c>
    </row>
    <row r="689">
      <c r="A689" s="1" t="s">
        <v>88</v>
      </c>
      <c r="B689" s="1" t="s">
        <v>1922</v>
      </c>
      <c r="C689" s="1">
        <v>11.0</v>
      </c>
      <c r="D689" s="1">
        <v>521.0</v>
      </c>
      <c r="E689" s="1">
        <v>532.0</v>
      </c>
      <c r="F689" s="1" t="s">
        <v>1923</v>
      </c>
      <c r="G689" s="1" t="s">
        <v>1924</v>
      </c>
      <c r="H689" s="1" t="s">
        <v>171</v>
      </c>
      <c r="I689" s="1" t="s">
        <v>172</v>
      </c>
      <c r="J689" s="1" t="s">
        <v>1877</v>
      </c>
      <c r="K689" s="1" t="s">
        <v>1878</v>
      </c>
      <c r="L689" s="1"/>
      <c r="M689" s="1" t="s">
        <v>171</v>
      </c>
      <c r="N689" s="6">
        <f>IFERROR(__xludf.DUMMYFUNCTION("IF(REGEXMATCH(A689, ""^00-""), 0, IF(AND(EQ(F689, """"), EQ(G689, """")), 1, 0))"),0.0)</f>
        <v>0</v>
      </c>
      <c r="O689" s="6">
        <f>IFERROR(__xludf.DUMMYFUNCTION("IF(REGEXMATCH(A689, ""^00-""), 0, IF(AND(NE(F689, """"), EQ(G689, """")), 1, 0))"),0.0)</f>
        <v>0</v>
      </c>
      <c r="P689" s="6">
        <f>IFERROR(__xludf.DUMMYFUNCTION("IF(REGEXMATCH(A689, ""^00-""), 0, IF(AND(EQ(F689, """"), NE(G689, """")), 1, 0))"),0.0)</f>
        <v>0</v>
      </c>
      <c r="Q689" s="6">
        <f>IFERROR(__xludf.DUMMYFUNCTION("IF(REGEXMATCH(A689, ""^00-""), 0, IF(AND(NE(F689, """"), NE(G689, """")), 1, 0))"),1.0)</f>
        <v>1</v>
      </c>
      <c r="R689" s="6">
        <f t="shared" si="1"/>
        <v>1</v>
      </c>
    </row>
    <row r="690">
      <c r="A690" s="1" t="s">
        <v>88</v>
      </c>
      <c r="B690" s="1" t="s">
        <v>1925</v>
      </c>
      <c r="C690" s="1">
        <v>65.0</v>
      </c>
      <c r="D690" s="1">
        <v>467.0</v>
      </c>
      <c r="E690" s="1">
        <v>532.0</v>
      </c>
      <c r="F690" s="1" t="s">
        <v>1926</v>
      </c>
      <c r="G690" s="1" t="s">
        <v>1927</v>
      </c>
      <c r="H690" s="1" t="s">
        <v>235</v>
      </c>
      <c r="I690" s="1" t="s">
        <v>172</v>
      </c>
      <c r="J690" s="1" t="s">
        <v>1877</v>
      </c>
      <c r="K690" s="1" t="s">
        <v>1878</v>
      </c>
      <c r="L690" s="1"/>
      <c r="M690" s="1" t="s">
        <v>1925</v>
      </c>
      <c r="N690" s="6">
        <f>IFERROR(__xludf.DUMMYFUNCTION("IF(REGEXMATCH(A690, ""^00-""), 0, IF(AND(EQ(F690, """"), EQ(G690, """")), 1, 0))"),0.0)</f>
        <v>0</v>
      </c>
      <c r="O690" s="6">
        <f>IFERROR(__xludf.DUMMYFUNCTION("IF(REGEXMATCH(A690, ""^00-""), 0, IF(AND(NE(F690, """"), EQ(G690, """")), 1, 0))"),0.0)</f>
        <v>0</v>
      </c>
      <c r="P690" s="6">
        <f>IFERROR(__xludf.DUMMYFUNCTION("IF(REGEXMATCH(A690, ""^00-""), 0, IF(AND(EQ(F690, """"), NE(G690, """")), 1, 0))"),0.0)</f>
        <v>0</v>
      </c>
      <c r="Q690" s="6">
        <f>IFERROR(__xludf.DUMMYFUNCTION("IF(REGEXMATCH(A690, ""^00-""), 0, IF(AND(NE(F690, """"), NE(G690, """")), 1, 0))"),1.0)</f>
        <v>1</v>
      </c>
      <c r="R690" s="6">
        <f t="shared" si="1"/>
        <v>1</v>
      </c>
    </row>
    <row r="691">
      <c r="A691" s="1" t="s">
        <v>90</v>
      </c>
      <c r="B691" s="1" t="s">
        <v>1928</v>
      </c>
      <c r="C691" s="1">
        <v>529.0</v>
      </c>
      <c r="D691" s="1">
        <v>3.0</v>
      </c>
      <c r="E691" s="1">
        <v>532.0</v>
      </c>
      <c r="F691" s="1"/>
      <c r="G691" s="1"/>
      <c r="H691" s="1" t="s">
        <v>182</v>
      </c>
      <c r="I691" s="1" t="s">
        <v>172</v>
      </c>
      <c r="J691" s="1" t="s">
        <v>1877</v>
      </c>
      <c r="K691" s="1" t="s">
        <v>1878</v>
      </c>
      <c r="L691" s="1"/>
      <c r="M691" s="1" t="s">
        <v>185</v>
      </c>
      <c r="N691" s="6">
        <f>IFERROR(__xludf.DUMMYFUNCTION("IF(REGEXMATCH(A691, ""^00-""), 0, IF(AND(EQ(F691, """"), EQ(G691, """")), 1, 0))"),1.0)</f>
        <v>1</v>
      </c>
      <c r="O691" s="6">
        <f>IFERROR(__xludf.DUMMYFUNCTION("IF(REGEXMATCH(A691, ""^00-""), 0, IF(AND(NE(F691, """"), EQ(G691, """")), 1, 0))"),0.0)</f>
        <v>0</v>
      </c>
      <c r="P691" s="6">
        <f>IFERROR(__xludf.DUMMYFUNCTION("IF(REGEXMATCH(A691, ""^00-""), 0, IF(AND(EQ(F691, """"), NE(G691, """")), 1, 0))"),0.0)</f>
        <v>0</v>
      </c>
      <c r="Q691" s="6">
        <f>IFERROR(__xludf.DUMMYFUNCTION("IF(REGEXMATCH(A691, ""^00-""), 0, IF(AND(NE(F691, """"), NE(G691, """")), 1, 0))"),0.0)</f>
        <v>0</v>
      </c>
      <c r="R691" s="6">
        <f t="shared" si="1"/>
        <v>1</v>
      </c>
    </row>
    <row r="692">
      <c r="A692" s="1" t="s">
        <v>92</v>
      </c>
      <c r="B692" s="1" t="s">
        <v>1929</v>
      </c>
      <c r="C692" s="1">
        <v>532.0</v>
      </c>
      <c r="D692" s="1">
        <v>0.0</v>
      </c>
      <c r="E692" s="1">
        <v>532.0</v>
      </c>
      <c r="F692" s="1" t="s">
        <v>1930</v>
      </c>
      <c r="G692" s="1" t="s">
        <v>1931</v>
      </c>
      <c r="H692" s="1" t="s">
        <v>190</v>
      </c>
      <c r="I692" s="1" t="s">
        <v>172</v>
      </c>
      <c r="J692" s="1" t="s">
        <v>628</v>
      </c>
      <c r="K692" s="1" t="s">
        <v>1878</v>
      </c>
      <c r="L692" s="1"/>
      <c r="M692" s="1" t="s">
        <v>191</v>
      </c>
      <c r="N692" s="6">
        <f>IFERROR(__xludf.DUMMYFUNCTION("IF(REGEXMATCH(A692, ""^00-""), 0, IF(AND(EQ(F692, """"), EQ(G692, """")), 1, 0))"),0.0)</f>
        <v>0</v>
      </c>
      <c r="O692" s="6">
        <f>IFERROR(__xludf.DUMMYFUNCTION("IF(REGEXMATCH(A692, ""^00-""), 0, IF(AND(NE(F692, """"), EQ(G692, """")), 1, 0))"),0.0)</f>
        <v>0</v>
      </c>
      <c r="P692" s="6">
        <f>IFERROR(__xludf.DUMMYFUNCTION("IF(REGEXMATCH(A692, ""^00-""), 0, IF(AND(EQ(F692, """"), NE(G692, """")), 1, 0))"),0.0)</f>
        <v>0</v>
      </c>
      <c r="Q692" s="6">
        <f>IFERROR(__xludf.DUMMYFUNCTION("IF(REGEXMATCH(A692, ""^00-""), 0, IF(AND(NE(F692, """"), NE(G692, """")), 1, 0))"),1.0)</f>
        <v>1</v>
      </c>
      <c r="R692" s="6">
        <f t="shared" si="1"/>
        <v>1</v>
      </c>
    </row>
    <row r="693">
      <c r="A693" s="1" t="s">
        <v>92</v>
      </c>
      <c r="B693" s="1" t="s">
        <v>1932</v>
      </c>
      <c r="C693" s="1">
        <v>532.0</v>
      </c>
      <c r="D693" s="1">
        <v>0.0</v>
      </c>
      <c r="E693" s="1">
        <v>532.0</v>
      </c>
      <c r="F693" s="1" t="s">
        <v>1933</v>
      </c>
      <c r="G693" s="1" t="s">
        <v>1934</v>
      </c>
      <c r="H693" s="1" t="s">
        <v>190</v>
      </c>
      <c r="I693" s="1" t="s">
        <v>172</v>
      </c>
      <c r="J693" s="1" t="s">
        <v>628</v>
      </c>
      <c r="K693" s="1" t="s">
        <v>1878</v>
      </c>
      <c r="L693" s="1"/>
      <c r="M693" s="1" t="s">
        <v>191</v>
      </c>
      <c r="N693" s="6">
        <f>IFERROR(__xludf.DUMMYFUNCTION("IF(REGEXMATCH(A693, ""^00-""), 0, IF(AND(EQ(F693, """"), EQ(G693, """")), 1, 0))"),0.0)</f>
        <v>0</v>
      </c>
      <c r="O693" s="6">
        <f>IFERROR(__xludf.DUMMYFUNCTION("IF(REGEXMATCH(A693, ""^00-""), 0, IF(AND(NE(F693, """"), EQ(G693, """")), 1, 0))"),0.0)</f>
        <v>0</v>
      </c>
      <c r="P693" s="6">
        <f>IFERROR(__xludf.DUMMYFUNCTION("IF(REGEXMATCH(A693, ""^00-""), 0, IF(AND(EQ(F693, """"), NE(G693, """")), 1, 0))"),0.0)</f>
        <v>0</v>
      </c>
      <c r="Q693" s="6">
        <f>IFERROR(__xludf.DUMMYFUNCTION("IF(REGEXMATCH(A693, ""^00-""), 0, IF(AND(NE(F693, """"), NE(G693, """")), 1, 0))"),1.0)</f>
        <v>1</v>
      </c>
      <c r="R693" s="6">
        <f t="shared" si="1"/>
        <v>1</v>
      </c>
    </row>
    <row r="694">
      <c r="A694" s="1" t="s">
        <v>92</v>
      </c>
      <c r="B694" s="1" t="s">
        <v>1935</v>
      </c>
      <c r="C694" s="1">
        <v>531.0</v>
      </c>
      <c r="D694" s="1">
        <v>1.0</v>
      </c>
      <c r="E694" s="1">
        <v>532.0</v>
      </c>
      <c r="F694" s="1" t="s">
        <v>1936</v>
      </c>
      <c r="G694" s="1" t="s">
        <v>1937</v>
      </c>
      <c r="H694" s="1" t="s">
        <v>190</v>
      </c>
      <c r="I694" s="1" t="s">
        <v>172</v>
      </c>
      <c r="J694" s="1" t="s">
        <v>628</v>
      </c>
      <c r="K694" s="1" t="s">
        <v>1878</v>
      </c>
      <c r="L694" s="1"/>
      <c r="M694" s="1" t="s">
        <v>191</v>
      </c>
      <c r="N694" s="6">
        <f>IFERROR(__xludf.DUMMYFUNCTION("IF(REGEXMATCH(A694, ""^00-""), 0, IF(AND(EQ(F694, """"), EQ(G694, """")), 1, 0))"),0.0)</f>
        <v>0</v>
      </c>
      <c r="O694" s="6">
        <f>IFERROR(__xludf.DUMMYFUNCTION("IF(REGEXMATCH(A694, ""^00-""), 0, IF(AND(NE(F694, """"), EQ(G694, """")), 1, 0))"),0.0)</f>
        <v>0</v>
      </c>
      <c r="P694" s="6">
        <f>IFERROR(__xludf.DUMMYFUNCTION("IF(REGEXMATCH(A694, ""^00-""), 0, IF(AND(EQ(F694, """"), NE(G694, """")), 1, 0))"),0.0)</f>
        <v>0</v>
      </c>
      <c r="Q694" s="6">
        <f>IFERROR(__xludf.DUMMYFUNCTION("IF(REGEXMATCH(A694, ""^00-""), 0, IF(AND(NE(F694, """"), NE(G694, """")), 1, 0))"),1.0)</f>
        <v>1</v>
      </c>
      <c r="R694" s="6">
        <f t="shared" si="1"/>
        <v>1</v>
      </c>
    </row>
    <row r="695">
      <c r="A695" s="1" t="s">
        <v>92</v>
      </c>
      <c r="B695" s="1" t="s">
        <v>1938</v>
      </c>
      <c r="C695" s="1">
        <v>531.0</v>
      </c>
      <c r="D695" s="1">
        <v>1.0</v>
      </c>
      <c r="E695" s="1">
        <v>532.0</v>
      </c>
      <c r="F695" s="1" t="s">
        <v>1939</v>
      </c>
      <c r="G695" s="1" t="s">
        <v>1940</v>
      </c>
      <c r="H695" s="1" t="s">
        <v>190</v>
      </c>
      <c r="I695" s="1" t="s">
        <v>172</v>
      </c>
      <c r="J695" s="1" t="s">
        <v>628</v>
      </c>
      <c r="K695" s="1" t="s">
        <v>1878</v>
      </c>
      <c r="L695" s="1"/>
      <c r="M695" s="1" t="s">
        <v>191</v>
      </c>
      <c r="N695" s="6">
        <f>IFERROR(__xludf.DUMMYFUNCTION("IF(REGEXMATCH(A695, ""^00-""), 0, IF(AND(EQ(F695, """"), EQ(G695, """")), 1, 0))"),0.0)</f>
        <v>0</v>
      </c>
      <c r="O695" s="6">
        <f>IFERROR(__xludf.DUMMYFUNCTION("IF(REGEXMATCH(A695, ""^00-""), 0, IF(AND(NE(F695, """"), EQ(G695, """")), 1, 0))"),0.0)</f>
        <v>0</v>
      </c>
      <c r="P695" s="6">
        <f>IFERROR(__xludf.DUMMYFUNCTION("IF(REGEXMATCH(A695, ""^00-""), 0, IF(AND(EQ(F695, """"), NE(G695, """")), 1, 0))"),0.0)</f>
        <v>0</v>
      </c>
      <c r="Q695" s="6">
        <f>IFERROR(__xludf.DUMMYFUNCTION("IF(REGEXMATCH(A695, ""^00-""), 0, IF(AND(NE(F695, """"), NE(G695, """")), 1, 0))"),1.0)</f>
        <v>1</v>
      </c>
      <c r="R695" s="6">
        <f t="shared" si="1"/>
        <v>1</v>
      </c>
    </row>
    <row r="696">
      <c r="A696" s="1" t="s">
        <v>92</v>
      </c>
      <c r="B696" s="1" t="s">
        <v>1941</v>
      </c>
      <c r="C696" s="1">
        <v>529.0</v>
      </c>
      <c r="D696" s="1">
        <v>3.0</v>
      </c>
      <c r="E696" s="1">
        <v>532.0</v>
      </c>
      <c r="F696" s="1" t="s">
        <v>1942</v>
      </c>
      <c r="G696" s="1" t="s">
        <v>1943</v>
      </c>
      <c r="H696" s="1" t="s">
        <v>190</v>
      </c>
      <c r="I696" s="1" t="s">
        <v>172</v>
      </c>
      <c r="J696" s="1" t="s">
        <v>628</v>
      </c>
      <c r="K696" s="1" t="s">
        <v>1878</v>
      </c>
      <c r="L696" s="1"/>
      <c r="M696" s="1" t="s">
        <v>191</v>
      </c>
      <c r="N696" s="6">
        <f>IFERROR(__xludf.DUMMYFUNCTION("IF(REGEXMATCH(A696, ""^00-""), 0, IF(AND(EQ(F696, """"), EQ(G696, """")), 1, 0))"),0.0)</f>
        <v>0</v>
      </c>
      <c r="O696" s="6">
        <f>IFERROR(__xludf.DUMMYFUNCTION("IF(REGEXMATCH(A696, ""^00-""), 0, IF(AND(NE(F696, """"), EQ(G696, """")), 1, 0))"),0.0)</f>
        <v>0</v>
      </c>
      <c r="P696" s="6">
        <f>IFERROR(__xludf.DUMMYFUNCTION("IF(REGEXMATCH(A696, ""^00-""), 0, IF(AND(EQ(F696, """"), NE(G696, """")), 1, 0))"),0.0)</f>
        <v>0</v>
      </c>
      <c r="Q696" s="6">
        <f>IFERROR(__xludf.DUMMYFUNCTION("IF(REGEXMATCH(A696, ""^00-""), 0, IF(AND(NE(F696, """"), NE(G696, """")), 1, 0))"),1.0)</f>
        <v>1</v>
      </c>
      <c r="R696" s="6">
        <f t="shared" si="1"/>
        <v>1</v>
      </c>
    </row>
    <row r="697">
      <c r="A697" s="1" t="s">
        <v>92</v>
      </c>
      <c r="B697" s="1" t="s">
        <v>1944</v>
      </c>
      <c r="C697" s="1">
        <v>532.0</v>
      </c>
      <c r="D697" s="1">
        <v>0.0</v>
      </c>
      <c r="E697" s="1">
        <v>532.0</v>
      </c>
      <c r="F697" s="1" t="s">
        <v>1945</v>
      </c>
      <c r="G697" s="1" t="s">
        <v>1946</v>
      </c>
      <c r="H697" s="1" t="s">
        <v>190</v>
      </c>
      <c r="I697" s="1" t="s">
        <v>172</v>
      </c>
      <c r="J697" s="1" t="s">
        <v>628</v>
      </c>
      <c r="K697" s="1" t="s">
        <v>1878</v>
      </c>
      <c r="L697" s="1"/>
      <c r="M697" s="1" t="s">
        <v>191</v>
      </c>
      <c r="N697" s="6">
        <f>IFERROR(__xludf.DUMMYFUNCTION("IF(REGEXMATCH(A697, ""^00-""), 0, IF(AND(EQ(F697, """"), EQ(G697, """")), 1, 0))"),0.0)</f>
        <v>0</v>
      </c>
      <c r="O697" s="6">
        <f>IFERROR(__xludf.DUMMYFUNCTION("IF(REGEXMATCH(A697, ""^00-""), 0, IF(AND(NE(F697, """"), EQ(G697, """")), 1, 0))"),0.0)</f>
        <v>0</v>
      </c>
      <c r="P697" s="6">
        <f>IFERROR(__xludf.DUMMYFUNCTION("IF(REGEXMATCH(A697, ""^00-""), 0, IF(AND(EQ(F697, """"), NE(G697, """")), 1, 0))"),0.0)</f>
        <v>0</v>
      </c>
      <c r="Q697" s="6">
        <f>IFERROR(__xludf.DUMMYFUNCTION("IF(REGEXMATCH(A697, ""^00-""), 0, IF(AND(NE(F697, """"), NE(G697, """")), 1, 0))"),1.0)</f>
        <v>1</v>
      </c>
      <c r="R697" s="6">
        <f t="shared" si="1"/>
        <v>1</v>
      </c>
    </row>
    <row r="698">
      <c r="A698" s="1" t="s">
        <v>92</v>
      </c>
      <c r="B698" s="1" t="s">
        <v>1947</v>
      </c>
      <c r="C698" s="1">
        <v>364.0</v>
      </c>
      <c r="D698" s="1">
        <v>168.0</v>
      </c>
      <c r="E698" s="1">
        <v>532.0</v>
      </c>
      <c r="F698" s="1"/>
      <c r="G698" s="1" t="s">
        <v>1948</v>
      </c>
      <c r="H698" s="1" t="s">
        <v>190</v>
      </c>
      <c r="I698" s="1" t="s">
        <v>172</v>
      </c>
      <c r="J698" s="1" t="s">
        <v>628</v>
      </c>
      <c r="K698" s="1" t="s">
        <v>1878</v>
      </c>
      <c r="L698" s="1"/>
      <c r="M698" s="1" t="s">
        <v>191</v>
      </c>
      <c r="N698" s="6">
        <f>IFERROR(__xludf.DUMMYFUNCTION("IF(REGEXMATCH(A698, ""^00-""), 0, IF(AND(EQ(F698, """"), EQ(G698, """")), 1, 0))"),0.0)</f>
        <v>0</v>
      </c>
      <c r="O698" s="6">
        <f>IFERROR(__xludf.DUMMYFUNCTION("IF(REGEXMATCH(A698, ""^00-""), 0, IF(AND(NE(F698, """"), EQ(G698, """")), 1, 0))"),0.0)</f>
        <v>0</v>
      </c>
      <c r="P698" s="6">
        <f>IFERROR(__xludf.DUMMYFUNCTION("IF(REGEXMATCH(A698, ""^00-""), 0, IF(AND(EQ(F698, """"), NE(G698, """")), 1, 0))"),1.0)</f>
        <v>1</v>
      </c>
      <c r="Q698" s="6">
        <f>IFERROR(__xludf.DUMMYFUNCTION("IF(REGEXMATCH(A698, ""^00-""), 0, IF(AND(NE(F698, """"), NE(G698, """")), 1, 0))"),0.0)</f>
        <v>0</v>
      </c>
      <c r="R698" s="6">
        <f t="shared" si="1"/>
        <v>1</v>
      </c>
    </row>
    <row r="699">
      <c r="A699" s="1" t="s">
        <v>94</v>
      </c>
      <c r="B699" s="1" t="s">
        <v>1949</v>
      </c>
      <c r="C699" s="1">
        <v>532.0</v>
      </c>
      <c r="D699" s="1">
        <v>0.0</v>
      </c>
      <c r="E699" s="1">
        <v>532.0</v>
      </c>
      <c r="F699" s="1" t="s">
        <v>1950</v>
      </c>
      <c r="G699" s="1" t="s">
        <v>1951</v>
      </c>
      <c r="H699" s="1" t="s">
        <v>190</v>
      </c>
      <c r="I699" s="1" t="s">
        <v>172</v>
      </c>
      <c r="J699" s="1" t="s">
        <v>848</v>
      </c>
      <c r="K699" s="1" t="s">
        <v>1878</v>
      </c>
      <c r="L699" s="1"/>
      <c r="M699" s="1" t="s">
        <v>191</v>
      </c>
      <c r="N699" s="6">
        <f>IFERROR(__xludf.DUMMYFUNCTION("IF(REGEXMATCH(A699, ""^00-""), 0, IF(AND(EQ(F699, """"), EQ(G699, """")), 1, 0))"),0.0)</f>
        <v>0</v>
      </c>
      <c r="O699" s="6">
        <f>IFERROR(__xludf.DUMMYFUNCTION("IF(REGEXMATCH(A699, ""^00-""), 0, IF(AND(NE(F699, """"), EQ(G699, """")), 1, 0))"),0.0)</f>
        <v>0</v>
      </c>
      <c r="P699" s="6">
        <f>IFERROR(__xludf.DUMMYFUNCTION("IF(REGEXMATCH(A699, ""^00-""), 0, IF(AND(EQ(F699, """"), NE(G699, """")), 1, 0))"),0.0)</f>
        <v>0</v>
      </c>
      <c r="Q699" s="6">
        <f>IFERROR(__xludf.DUMMYFUNCTION("IF(REGEXMATCH(A699, ""^00-""), 0, IF(AND(NE(F699, """"), NE(G699, """")), 1, 0))"),1.0)</f>
        <v>1</v>
      </c>
      <c r="R699" s="6">
        <f t="shared" si="1"/>
        <v>1</v>
      </c>
    </row>
    <row r="700">
      <c r="A700" s="1" t="s">
        <v>94</v>
      </c>
      <c r="B700" s="1" t="s">
        <v>1952</v>
      </c>
      <c r="C700" s="1">
        <v>532.0</v>
      </c>
      <c r="D700" s="1">
        <v>0.0</v>
      </c>
      <c r="E700" s="1">
        <v>532.0</v>
      </c>
      <c r="F700" s="1" t="s">
        <v>1953</v>
      </c>
      <c r="G700" s="1" t="s">
        <v>1954</v>
      </c>
      <c r="H700" s="1" t="s">
        <v>190</v>
      </c>
      <c r="I700" s="1" t="s">
        <v>172</v>
      </c>
      <c r="J700" s="1" t="s">
        <v>848</v>
      </c>
      <c r="K700" s="1" t="s">
        <v>1878</v>
      </c>
      <c r="L700" s="1"/>
      <c r="M700" s="1" t="s">
        <v>191</v>
      </c>
      <c r="N700" s="6">
        <f>IFERROR(__xludf.DUMMYFUNCTION("IF(REGEXMATCH(A700, ""^00-""), 0, IF(AND(EQ(F700, """"), EQ(G700, """")), 1, 0))"),0.0)</f>
        <v>0</v>
      </c>
      <c r="O700" s="6">
        <f>IFERROR(__xludf.DUMMYFUNCTION("IF(REGEXMATCH(A700, ""^00-""), 0, IF(AND(NE(F700, """"), EQ(G700, """")), 1, 0))"),0.0)</f>
        <v>0</v>
      </c>
      <c r="P700" s="6">
        <f>IFERROR(__xludf.DUMMYFUNCTION("IF(REGEXMATCH(A700, ""^00-""), 0, IF(AND(EQ(F700, """"), NE(G700, """")), 1, 0))"),0.0)</f>
        <v>0</v>
      </c>
      <c r="Q700" s="6">
        <f>IFERROR(__xludf.DUMMYFUNCTION("IF(REGEXMATCH(A700, ""^00-""), 0, IF(AND(NE(F700, """"), NE(G700, """")), 1, 0))"),1.0)</f>
        <v>1</v>
      </c>
      <c r="R700" s="6">
        <f t="shared" si="1"/>
        <v>1</v>
      </c>
    </row>
    <row r="701">
      <c r="A701" s="1" t="s">
        <v>94</v>
      </c>
      <c r="B701" s="1" t="s">
        <v>1955</v>
      </c>
      <c r="C701" s="1">
        <v>532.0</v>
      </c>
      <c r="D701" s="1">
        <v>0.0</v>
      </c>
      <c r="E701" s="1">
        <v>532.0</v>
      </c>
      <c r="F701" s="1" t="s">
        <v>1956</v>
      </c>
      <c r="G701" s="1" t="s">
        <v>1957</v>
      </c>
      <c r="H701" s="1" t="s">
        <v>190</v>
      </c>
      <c r="I701" s="1" t="s">
        <v>172</v>
      </c>
      <c r="J701" s="1" t="s">
        <v>848</v>
      </c>
      <c r="K701" s="1" t="s">
        <v>1878</v>
      </c>
      <c r="L701" s="1"/>
      <c r="M701" s="1" t="s">
        <v>191</v>
      </c>
      <c r="N701" s="6">
        <f>IFERROR(__xludf.DUMMYFUNCTION("IF(REGEXMATCH(A701, ""^00-""), 0, IF(AND(EQ(F701, """"), EQ(G701, """")), 1, 0))"),0.0)</f>
        <v>0</v>
      </c>
      <c r="O701" s="6">
        <f>IFERROR(__xludf.DUMMYFUNCTION("IF(REGEXMATCH(A701, ""^00-""), 0, IF(AND(NE(F701, """"), EQ(G701, """")), 1, 0))"),0.0)</f>
        <v>0</v>
      </c>
      <c r="P701" s="6">
        <f>IFERROR(__xludf.DUMMYFUNCTION("IF(REGEXMATCH(A701, ""^00-""), 0, IF(AND(EQ(F701, """"), NE(G701, """")), 1, 0))"),0.0)</f>
        <v>0</v>
      </c>
      <c r="Q701" s="6">
        <f>IFERROR(__xludf.DUMMYFUNCTION("IF(REGEXMATCH(A701, ""^00-""), 0, IF(AND(NE(F701, """"), NE(G701, """")), 1, 0))"),1.0)</f>
        <v>1</v>
      </c>
      <c r="R701" s="6">
        <f t="shared" si="1"/>
        <v>1</v>
      </c>
    </row>
    <row r="702">
      <c r="A702" s="1" t="s">
        <v>94</v>
      </c>
      <c r="B702" s="1" t="s">
        <v>1958</v>
      </c>
      <c r="C702" s="1">
        <v>532.0</v>
      </c>
      <c r="D702" s="1">
        <v>0.0</v>
      </c>
      <c r="E702" s="1">
        <v>532.0</v>
      </c>
      <c r="F702" s="1" t="s">
        <v>1959</v>
      </c>
      <c r="G702" s="11" t="s">
        <v>1960</v>
      </c>
      <c r="H702" s="1" t="s">
        <v>190</v>
      </c>
      <c r="I702" s="1" t="s">
        <v>172</v>
      </c>
      <c r="J702" s="1" t="s">
        <v>848</v>
      </c>
      <c r="K702" s="1" t="s">
        <v>1878</v>
      </c>
      <c r="L702" s="1"/>
      <c r="M702" s="1" t="s">
        <v>191</v>
      </c>
      <c r="N702" s="6">
        <f>IFERROR(__xludf.DUMMYFUNCTION("IF(REGEXMATCH(A702, ""^00-""), 0, IF(AND(EQ(F702, """"), EQ(G702, """")), 1, 0))"),0.0)</f>
        <v>0</v>
      </c>
      <c r="O702" s="6">
        <f>IFERROR(__xludf.DUMMYFUNCTION("IF(REGEXMATCH(A702, ""^00-""), 0, IF(AND(NE(F702, """"), EQ(G702, """")), 1, 0))"),0.0)</f>
        <v>0</v>
      </c>
      <c r="P702" s="6">
        <f>IFERROR(__xludf.DUMMYFUNCTION("IF(REGEXMATCH(A702, ""^00-""), 0, IF(AND(EQ(F702, """"), NE(G702, """")), 1, 0))"),0.0)</f>
        <v>0</v>
      </c>
      <c r="Q702" s="6">
        <f>IFERROR(__xludf.DUMMYFUNCTION("IF(REGEXMATCH(A702, ""^00-""), 0, IF(AND(NE(F702, """"), NE(G702, """")), 1, 0))"),1.0)</f>
        <v>1</v>
      </c>
      <c r="R702" s="6">
        <f t="shared" si="1"/>
        <v>1</v>
      </c>
    </row>
    <row r="703">
      <c r="A703" s="1" t="s">
        <v>94</v>
      </c>
      <c r="B703" s="1" t="s">
        <v>1961</v>
      </c>
      <c r="C703" s="1">
        <v>532.0</v>
      </c>
      <c r="D703" s="1">
        <v>0.0</v>
      </c>
      <c r="E703" s="1">
        <v>532.0</v>
      </c>
      <c r="F703" s="1" t="s">
        <v>1962</v>
      </c>
      <c r="G703" s="11" t="s">
        <v>1963</v>
      </c>
      <c r="H703" s="1" t="s">
        <v>190</v>
      </c>
      <c r="I703" s="1" t="s">
        <v>172</v>
      </c>
      <c r="J703" s="1" t="s">
        <v>848</v>
      </c>
      <c r="K703" s="1" t="s">
        <v>1878</v>
      </c>
      <c r="L703" s="1"/>
      <c r="M703" s="1" t="s">
        <v>191</v>
      </c>
      <c r="N703" s="6">
        <f>IFERROR(__xludf.DUMMYFUNCTION("IF(REGEXMATCH(A703, ""^00-""), 0, IF(AND(EQ(F703, """"), EQ(G703, """")), 1, 0))"),0.0)</f>
        <v>0</v>
      </c>
      <c r="O703" s="6">
        <f>IFERROR(__xludf.DUMMYFUNCTION("IF(REGEXMATCH(A703, ""^00-""), 0, IF(AND(NE(F703, """"), EQ(G703, """")), 1, 0))"),0.0)</f>
        <v>0</v>
      </c>
      <c r="P703" s="6">
        <f>IFERROR(__xludf.DUMMYFUNCTION("IF(REGEXMATCH(A703, ""^00-""), 0, IF(AND(EQ(F703, """"), NE(G703, """")), 1, 0))"),0.0)</f>
        <v>0</v>
      </c>
      <c r="Q703" s="6">
        <f>IFERROR(__xludf.DUMMYFUNCTION("IF(REGEXMATCH(A703, ""^00-""), 0, IF(AND(NE(F703, """"), NE(G703, """")), 1, 0))"),1.0)</f>
        <v>1</v>
      </c>
      <c r="R703" s="6">
        <f t="shared" si="1"/>
        <v>1</v>
      </c>
    </row>
    <row r="704">
      <c r="A704" s="1" t="s">
        <v>94</v>
      </c>
      <c r="B704" s="1" t="s">
        <v>1964</v>
      </c>
      <c r="C704" s="1">
        <v>532.0</v>
      </c>
      <c r="D704" s="1">
        <v>0.0</v>
      </c>
      <c r="E704" s="1">
        <v>532.0</v>
      </c>
      <c r="F704" s="1" t="s">
        <v>1965</v>
      </c>
      <c r="G704" s="11" t="s">
        <v>1966</v>
      </c>
      <c r="H704" s="1" t="s">
        <v>190</v>
      </c>
      <c r="I704" s="1" t="s">
        <v>172</v>
      </c>
      <c r="J704" s="1" t="s">
        <v>848</v>
      </c>
      <c r="K704" s="1" t="s">
        <v>1878</v>
      </c>
      <c r="L704" s="1"/>
      <c r="M704" s="1" t="s">
        <v>191</v>
      </c>
      <c r="N704" s="6">
        <f>IFERROR(__xludf.DUMMYFUNCTION("IF(REGEXMATCH(A704, ""^00-""), 0, IF(AND(EQ(F704, """"), EQ(G704, """")), 1, 0))"),0.0)</f>
        <v>0</v>
      </c>
      <c r="O704" s="6">
        <f>IFERROR(__xludf.DUMMYFUNCTION("IF(REGEXMATCH(A704, ""^00-""), 0, IF(AND(NE(F704, """"), EQ(G704, """")), 1, 0))"),0.0)</f>
        <v>0</v>
      </c>
      <c r="P704" s="6">
        <f>IFERROR(__xludf.DUMMYFUNCTION("IF(REGEXMATCH(A704, ""^00-""), 0, IF(AND(EQ(F704, """"), NE(G704, """")), 1, 0))"),0.0)</f>
        <v>0</v>
      </c>
      <c r="Q704" s="6">
        <f>IFERROR(__xludf.DUMMYFUNCTION("IF(REGEXMATCH(A704, ""^00-""), 0, IF(AND(NE(F704, """"), NE(G704, """")), 1, 0))"),1.0)</f>
        <v>1</v>
      </c>
      <c r="R704" s="6">
        <f t="shared" si="1"/>
        <v>1</v>
      </c>
    </row>
    <row r="705">
      <c r="A705" s="1" t="s">
        <v>94</v>
      </c>
      <c r="B705" s="1" t="s">
        <v>1967</v>
      </c>
      <c r="C705" s="1">
        <v>532.0</v>
      </c>
      <c r="D705" s="1">
        <v>0.0</v>
      </c>
      <c r="E705" s="1">
        <v>532.0</v>
      </c>
      <c r="F705" s="1" t="s">
        <v>1968</v>
      </c>
      <c r="G705" s="11" t="s">
        <v>1969</v>
      </c>
      <c r="H705" s="1" t="s">
        <v>190</v>
      </c>
      <c r="I705" s="1" t="s">
        <v>172</v>
      </c>
      <c r="J705" s="1" t="s">
        <v>848</v>
      </c>
      <c r="K705" s="1" t="s">
        <v>1878</v>
      </c>
      <c r="L705" s="1"/>
      <c r="M705" s="1" t="s">
        <v>191</v>
      </c>
      <c r="N705" s="6">
        <f>IFERROR(__xludf.DUMMYFUNCTION("IF(REGEXMATCH(A705, ""^00-""), 0, IF(AND(EQ(F705, """"), EQ(G705, """")), 1, 0))"),0.0)</f>
        <v>0</v>
      </c>
      <c r="O705" s="6">
        <f>IFERROR(__xludf.DUMMYFUNCTION("IF(REGEXMATCH(A705, ""^00-""), 0, IF(AND(NE(F705, """"), EQ(G705, """")), 1, 0))"),0.0)</f>
        <v>0</v>
      </c>
      <c r="P705" s="6">
        <f>IFERROR(__xludf.DUMMYFUNCTION("IF(REGEXMATCH(A705, ""^00-""), 0, IF(AND(EQ(F705, """"), NE(G705, """")), 1, 0))"),0.0)</f>
        <v>0</v>
      </c>
      <c r="Q705" s="6">
        <f>IFERROR(__xludf.DUMMYFUNCTION("IF(REGEXMATCH(A705, ""^00-""), 0, IF(AND(NE(F705, """"), NE(G705, """")), 1, 0))"),1.0)</f>
        <v>1</v>
      </c>
      <c r="R705" s="6">
        <f t="shared" si="1"/>
        <v>1</v>
      </c>
    </row>
    <row r="706">
      <c r="A706" s="1" t="s">
        <v>94</v>
      </c>
      <c r="B706" s="1" t="s">
        <v>1970</v>
      </c>
      <c r="C706" s="1">
        <v>532.0</v>
      </c>
      <c r="D706" s="1">
        <v>0.0</v>
      </c>
      <c r="E706" s="1">
        <v>532.0</v>
      </c>
      <c r="F706" s="1" t="s">
        <v>1971</v>
      </c>
      <c r="G706" s="11" t="s">
        <v>1972</v>
      </c>
      <c r="H706" s="1" t="s">
        <v>182</v>
      </c>
      <c r="I706" s="1" t="s">
        <v>172</v>
      </c>
      <c r="J706" s="1" t="s">
        <v>848</v>
      </c>
      <c r="K706" s="1" t="s">
        <v>1878</v>
      </c>
      <c r="L706" s="1"/>
      <c r="M706" s="1" t="s">
        <v>185</v>
      </c>
      <c r="N706" s="6">
        <f>IFERROR(__xludf.DUMMYFUNCTION("IF(REGEXMATCH(A706, ""^00-""), 0, IF(AND(EQ(F706, """"), EQ(G706, """")), 1, 0))"),0.0)</f>
        <v>0</v>
      </c>
      <c r="O706" s="6">
        <f>IFERROR(__xludf.DUMMYFUNCTION("IF(REGEXMATCH(A706, ""^00-""), 0, IF(AND(NE(F706, """"), EQ(G706, """")), 1, 0))"),0.0)</f>
        <v>0</v>
      </c>
      <c r="P706" s="6">
        <f>IFERROR(__xludf.DUMMYFUNCTION("IF(REGEXMATCH(A706, ""^00-""), 0, IF(AND(EQ(F706, """"), NE(G706, """")), 1, 0))"),0.0)</f>
        <v>0</v>
      </c>
      <c r="Q706" s="6">
        <f>IFERROR(__xludf.DUMMYFUNCTION("IF(REGEXMATCH(A706, ""^00-""), 0, IF(AND(NE(F706, """"), NE(G706, """")), 1, 0))"),1.0)</f>
        <v>1</v>
      </c>
      <c r="R706" s="6">
        <f t="shared" si="1"/>
        <v>1</v>
      </c>
    </row>
    <row r="707">
      <c r="A707" s="1" t="s">
        <v>94</v>
      </c>
      <c r="B707" s="1" t="s">
        <v>1973</v>
      </c>
      <c r="C707" s="1">
        <v>532.0</v>
      </c>
      <c r="D707" s="1">
        <v>0.0</v>
      </c>
      <c r="E707" s="1">
        <v>532.0</v>
      </c>
      <c r="F707" s="1" t="s">
        <v>1974</v>
      </c>
      <c r="G707" s="11" t="s">
        <v>1975</v>
      </c>
      <c r="H707" s="1" t="s">
        <v>182</v>
      </c>
      <c r="I707" s="1" t="s">
        <v>172</v>
      </c>
      <c r="J707" s="1" t="s">
        <v>848</v>
      </c>
      <c r="K707" s="1" t="s">
        <v>1878</v>
      </c>
      <c r="L707" s="1"/>
      <c r="M707" s="1" t="s">
        <v>185</v>
      </c>
      <c r="N707" s="6">
        <f>IFERROR(__xludf.DUMMYFUNCTION("IF(REGEXMATCH(A707, ""^00-""), 0, IF(AND(EQ(F707, """"), EQ(G707, """")), 1, 0))"),0.0)</f>
        <v>0</v>
      </c>
      <c r="O707" s="6">
        <f>IFERROR(__xludf.DUMMYFUNCTION("IF(REGEXMATCH(A707, ""^00-""), 0, IF(AND(NE(F707, """"), EQ(G707, """")), 1, 0))"),0.0)</f>
        <v>0</v>
      </c>
      <c r="P707" s="6">
        <f>IFERROR(__xludf.DUMMYFUNCTION("IF(REGEXMATCH(A707, ""^00-""), 0, IF(AND(EQ(F707, """"), NE(G707, """")), 1, 0))"),0.0)</f>
        <v>0</v>
      </c>
      <c r="Q707" s="6">
        <f>IFERROR(__xludf.DUMMYFUNCTION("IF(REGEXMATCH(A707, ""^00-""), 0, IF(AND(NE(F707, """"), NE(G707, """")), 1, 0))"),1.0)</f>
        <v>1</v>
      </c>
      <c r="R707" s="6">
        <f t="shared" si="1"/>
        <v>1</v>
      </c>
    </row>
    <row r="708">
      <c r="A708" s="1" t="s">
        <v>94</v>
      </c>
      <c r="B708" s="1" t="s">
        <v>1976</v>
      </c>
      <c r="C708" s="1">
        <v>532.0</v>
      </c>
      <c r="D708" s="1">
        <v>0.0</v>
      </c>
      <c r="E708" s="1">
        <v>532.0</v>
      </c>
      <c r="F708" s="1" t="s">
        <v>1977</v>
      </c>
      <c r="G708" s="11" t="s">
        <v>1978</v>
      </c>
      <c r="H708" s="1" t="s">
        <v>182</v>
      </c>
      <c r="I708" s="1" t="s">
        <v>172</v>
      </c>
      <c r="J708" s="1" t="s">
        <v>848</v>
      </c>
      <c r="K708" s="1" t="s">
        <v>1878</v>
      </c>
      <c r="L708" s="1"/>
      <c r="M708" s="1" t="s">
        <v>185</v>
      </c>
      <c r="N708" s="6">
        <f>IFERROR(__xludf.DUMMYFUNCTION("IF(REGEXMATCH(A708, ""^00-""), 0, IF(AND(EQ(F708, """"), EQ(G708, """")), 1, 0))"),0.0)</f>
        <v>0</v>
      </c>
      <c r="O708" s="6">
        <f>IFERROR(__xludf.DUMMYFUNCTION("IF(REGEXMATCH(A708, ""^00-""), 0, IF(AND(NE(F708, """"), EQ(G708, """")), 1, 0))"),0.0)</f>
        <v>0</v>
      </c>
      <c r="P708" s="6">
        <f>IFERROR(__xludf.DUMMYFUNCTION("IF(REGEXMATCH(A708, ""^00-""), 0, IF(AND(EQ(F708, """"), NE(G708, """")), 1, 0))"),0.0)</f>
        <v>0</v>
      </c>
      <c r="Q708" s="6">
        <f>IFERROR(__xludf.DUMMYFUNCTION("IF(REGEXMATCH(A708, ""^00-""), 0, IF(AND(NE(F708, """"), NE(G708, """")), 1, 0))"),1.0)</f>
        <v>1</v>
      </c>
      <c r="R708" s="6">
        <f t="shared" si="1"/>
        <v>1</v>
      </c>
    </row>
    <row r="709">
      <c r="A709" s="1" t="s">
        <v>94</v>
      </c>
      <c r="B709" s="1" t="s">
        <v>1979</v>
      </c>
      <c r="C709" s="1">
        <v>29.0</v>
      </c>
      <c r="D709" s="1">
        <v>503.0</v>
      </c>
      <c r="E709" s="1">
        <v>532.0</v>
      </c>
      <c r="F709" s="1" t="s">
        <v>1980</v>
      </c>
      <c r="G709" s="11"/>
      <c r="H709" s="1" t="s">
        <v>250</v>
      </c>
      <c r="I709" s="1" t="s">
        <v>172</v>
      </c>
      <c r="J709" s="1" t="s">
        <v>848</v>
      </c>
      <c r="K709" s="1" t="s">
        <v>1878</v>
      </c>
      <c r="L709" s="1"/>
      <c r="M709" s="1" t="s">
        <v>250</v>
      </c>
      <c r="N709" s="6">
        <f>IFERROR(__xludf.DUMMYFUNCTION("IF(REGEXMATCH(A709, ""^00-""), 0, IF(AND(EQ(F709, """"), EQ(G709, """")), 1, 0))"),0.0)</f>
        <v>0</v>
      </c>
      <c r="O709" s="6">
        <f>IFERROR(__xludf.DUMMYFUNCTION("IF(REGEXMATCH(A709, ""^00-""), 0, IF(AND(NE(F709, """"), EQ(G709, """")), 1, 0))"),1.0)</f>
        <v>1</v>
      </c>
      <c r="P709" s="6">
        <f>IFERROR(__xludf.DUMMYFUNCTION("IF(REGEXMATCH(A709, ""^00-""), 0, IF(AND(EQ(F709, """"), NE(G709, """")), 1, 0))"),0.0)</f>
        <v>0</v>
      </c>
      <c r="Q709" s="6">
        <f>IFERROR(__xludf.DUMMYFUNCTION("IF(REGEXMATCH(A709, ""^00-""), 0, IF(AND(NE(F709, """"), NE(G709, """")), 1, 0))"),0.0)</f>
        <v>0</v>
      </c>
      <c r="R709" s="6">
        <f t="shared" si="1"/>
        <v>1</v>
      </c>
    </row>
    <row r="710">
      <c r="A710" s="1" t="s">
        <v>94</v>
      </c>
      <c r="B710" s="1" t="s">
        <v>1981</v>
      </c>
      <c r="C710" s="1">
        <v>28.0</v>
      </c>
      <c r="D710" s="1">
        <v>504.0</v>
      </c>
      <c r="E710" s="1">
        <v>532.0</v>
      </c>
      <c r="F710" s="1" t="s">
        <v>1982</v>
      </c>
      <c r="G710" s="1"/>
      <c r="H710" s="1" t="s">
        <v>254</v>
      </c>
      <c r="I710" s="1" t="s">
        <v>172</v>
      </c>
      <c r="J710" s="1" t="s">
        <v>848</v>
      </c>
      <c r="K710" s="1" t="s">
        <v>1878</v>
      </c>
      <c r="L710" s="1"/>
      <c r="M710" s="1" t="s">
        <v>254</v>
      </c>
      <c r="N710" s="6">
        <f>IFERROR(__xludf.DUMMYFUNCTION("IF(REGEXMATCH(A710, ""^00-""), 0, IF(AND(EQ(F710, """"), EQ(G710, """")), 1, 0))"),0.0)</f>
        <v>0</v>
      </c>
      <c r="O710" s="6">
        <f>IFERROR(__xludf.DUMMYFUNCTION("IF(REGEXMATCH(A710, ""^00-""), 0, IF(AND(NE(F710, """"), EQ(G710, """")), 1, 0))"),1.0)</f>
        <v>1</v>
      </c>
      <c r="P710" s="6">
        <f>IFERROR(__xludf.DUMMYFUNCTION("IF(REGEXMATCH(A710, ""^00-""), 0, IF(AND(EQ(F710, """"), NE(G710, """")), 1, 0))"),0.0)</f>
        <v>0</v>
      </c>
      <c r="Q710" s="6">
        <f>IFERROR(__xludf.DUMMYFUNCTION("IF(REGEXMATCH(A710, ""^00-""), 0, IF(AND(NE(F710, """"), NE(G710, """")), 1, 0))"),0.0)</f>
        <v>0</v>
      </c>
      <c r="R710" s="6">
        <f t="shared" si="1"/>
        <v>1</v>
      </c>
    </row>
    <row r="711">
      <c r="A711" s="1" t="s">
        <v>94</v>
      </c>
      <c r="B711" s="1" t="s">
        <v>1983</v>
      </c>
      <c r="C711" s="1">
        <v>28.0</v>
      </c>
      <c r="D711" s="1">
        <v>504.0</v>
      </c>
      <c r="E711" s="1">
        <v>532.0</v>
      </c>
      <c r="F711" s="1" t="s">
        <v>1984</v>
      </c>
      <c r="G711" s="1"/>
      <c r="H711" s="1" t="s">
        <v>250</v>
      </c>
      <c r="I711" s="1" t="s">
        <v>172</v>
      </c>
      <c r="J711" s="1" t="s">
        <v>848</v>
      </c>
      <c r="K711" s="1" t="s">
        <v>1878</v>
      </c>
      <c r="L711" s="1"/>
      <c r="M711" s="1" t="s">
        <v>250</v>
      </c>
      <c r="N711" s="6">
        <f>IFERROR(__xludf.DUMMYFUNCTION("IF(REGEXMATCH(A711, ""^00-""), 0, IF(AND(EQ(F711, """"), EQ(G711, """")), 1, 0))"),0.0)</f>
        <v>0</v>
      </c>
      <c r="O711" s="6">
        <f>IFERROR(__xludf.DUMMYFUNCTION("IF(REGEXMATCH(A711, ""^00-""), 0, IF(AND(NE(F711, """"), EQ(G711, """")), 1, 0))"),1.0)</f>
        <v>1</v>
      </c>
      <c r="P711" s="6">
        <f>IFERROR(__xludf.DUMMYFUNCTION("IF(REGEXMATCH(A711, ""^00-""), 0, IF(AND(EQ(F711, """"), NE(G711, """")), 1, 0))"),0.0)</f>
        <v>0</v>
      </c>
      <c r="Q711" s="6">
        <f>IFERROR(__xludf.DUMMYFUNCTION("IF(REGEXMATCH(A711, ""^00-""), 0, IF(AND(NE(F711, """"), NE(G711, """")), 1, 0))"),0.0)</f>
        <v>0</v>
      </c>
      <c r="R711" s="6">
        <f t="shared" si="1"/>
        <v>1</v>
      </c>
    </row>
    <row r="712">
      <c r="A712" s="1" t="s">
        <v>94</v>
      </c>
      <c r="B712" s="1" t="s">
        <v>1985</v>
      </c>
      <c r="C712" s="1">
        <v>27.0</v>
      </c>
      <c r="D712" s="1">
        <v>505.0</v>
      </c>
      <c r="E712" s="1">
        <v>532.0</v>
      </c>
      <c r="F712" s="1" t="s">
        <v>1986</v>
      </c>
      <c r="G712" s="1"/>
      <c r="H712" s="1" t="s">
        <v>254</v>
      </c>
      <c r="I712" s="1" t="s">
        <v>172</v>
      </c>
      <c r="J712" s="1" t="s">
        <v>848</v>
      </c>
      <c r="K712" s="1" t="s">
        <v>1878</v>
      </c>
      <c r="L712" s="1"/>
      <c r="M712" s="1" t="s">
        <v>254</v>
      </c>
      <c r="N712" s="6">
        <f>IFERROR(__xludf.DUMMYFUNCTION("IF(REGEXMATCH(A712, ""^00-""), 0, IF(AND(EQ(F712, """"), EQ(G712, """")), 1, 0))"),0.0)</f>
        <v>0</v>
      </c>
      <c r="O712" s="6">
        <f>IFERROR(__xludf.DUMMYFUNCTION("IF(REGEXMATCH(A712, ""^00-""), 0, IF(AND(NE(F712, """"), EQ(G712, """")), 1, 0))"),1.0)</f>
        <v>1</v>
      </c>
      <c r="P712" s="6">
        <f>IFERROR(__xludf.DUMMYFUNCTION("IF(REGEXMATCH(A712, ""^00-""), 0, IF(AND(EQ(F712, """"), NE(G712, """")), 1, 0))"),0.0)</f>
        <v>0</v>
      </c>
      <c r="Q712" s="6">
        <f>IFERROR(__xludf.DUMMYFUNCTION("IF(REGEXMATCH(A712, ""^00-""), 0, IF(AND(NE(F712, """"), NE(G712, """")), 1, 0))"),0.0)</f>
        <v>0</v>
      </c>
      <c r="R712" s="6">
        <f t="shared" si="1"/>
        <v>1</v>
      </c>
    </row>
    <row r="713">
      <c r="A713" s="1" t="s">
        <v>96</v>
      </c>
      <c r="B713" s="1" t="s">
        <v>1987</v>
      </c>
      <c r="C713" s="1">
        <v>532.0</v>
      </c>
      <c r="D713" s="1">
        <v>0.0</v>
      </c>
      <c r="E713" s="1">
        <v>532.0</v>
      </c>
      <c r="F713" s="1" t="s">
        <v>1988</v>
      </c>
      <c r="G713" s="1" t="s">
        <v>1989</v>
      </c>
      <c r="H713" s="1" t="s">
        <v>190</v>
      </c>
      <c r="I713" s="1" t="s">
        <v>172</v>
      </c>
      <c r="J713" s="1" t="s">
        <v>910</v>
      </c>
      <c r="K713" s="1" t="s">
        <v>1878</v>
      </c>
      <c r="L713" s="1"/>
      <c r="M713" s="1" t="s">
        <v>191</v>
      </c>
      <c r="N713" s="6">
        <f>IFERROR(__xludf.DUMMYFUNCTION("IF(REGEXMATCH(A713, ""^00-""), 0, IF(AND(EQ(F713, """"), EQ(G713, """")), 1, 0))"),0.0)</f>
        <v>0</v>
      </c>
      <c r="O713" s="6">
        <f>IFERROR(__xludf.DUMMYFUNCTION("IF(REGEXMATCH(A713, ""^00-""), 0, IF(AND(NE(F713, """"), EQ(G713, """")), 1, 0))"),0.0)</f>
        <v>0</v>
      </c>
      <c r="P713" s="6">
        <f>IFERROR(__xludf.DUMMYFUNCTION("IF(REGEXMATCH(A713, ""^00-""), 0, IF(AND(EQ(F713, """"), NE(G713, """")), 1, 0))"),0.0)</f>
        <v>0</v>
      </c>
      <c r="Q713" s="6">
        <f>IFERROR(__xludf.DUMMYFUNCTION("IF(REGEXMATCH(A713, ""^00-""), 0, IF(AND(NE(F713, """"), NE(G713, """")), 1, 0))"),1.0)</f>
        <v>1</v>
      </c>
      <c r="R713" s="6">
        <f t="shared" si="1"/>
        <v>1</v>
      </c>
    </row>
    <row r="714">
      <c r="A714" s="1" t="s">
        <v>98</v>
      </c>
      <c r="B714" s="1" t="s">
        <v>1990</v>
      </c>
      <c r="C714" s="1">
        <v>532.0</v>
      </c>
      <c r="D714" s="1">
        <v>0.0</v>
      </c>
      <c r="E714" s="1">
        <v>532.0</v>
      </c>
      <c r="F714" s="1" t="s">
        <v>1991</v>
      </c>
      <c r="G714" s="1" t="s">
        <v>1992</v>
      </c>
      <c r="H714" s="1" t="s">
        <v>190</v>
      </c>
      <c r="I714" s="1" t="s">
        <v>172</v>
      </c>
      <c r="J714" s="1" t="s">
        <v>1993</v>
      </c>
      <c r="K714" s="1" t="s">
        <v>1878</v>
      </c>
      <c r="L714" s="1"/>
      <c r="M714" s="1" t="s">
        <v>191</v>
      </c>
      <c r="N714" s="6">
        <f>IFERROR(__xludf.DUMMYFUNCTION("IF(REGEXMATCH(A714, ""^00-""), 0, IF(AND(EQ(F714, """"), EQ(G714, """")), 1, 0))"),0.0)</f>
        <v>0</v>
      </c>
      <c r="O714" s="6">
        <f>IFERROR(__xludf.DUMMYFUNCTION("IF(REGEXMATCH(A714, ""^00-""), 0, IF(AND(NE(F714, """"), EQ(G714, """")), 1, 0))"),0.0)</f>
        <v>0</v>
      </c>
      <c r="P714" s="6">
        <f>IFERROR(__xludf.DUMMYFUNCTION("IF(REGEXMATCH(A714, ""^00-""), 0, IF(AND(EQ(F714, """"), NE(G714, """")), 1, 0))"),0.0)</f>
        <v>0</v>
      </c>
      <c r="Q714" s="6">
        <f>IFERROR(__xludf.DUMMYFUNCTION("IF(REGEXMATCH(A714, ""^00-""), 0, IF(AND(NE(F714, """"), NE(G714, """")), 1, 0))"),1.0)</f>
        <v>1</v>
      </c>
      <c r="R714" s="6">
        <f t="shared" si="1"/>
        <v>1</v>
      </c>
    </row>
    <row r="715">
      <c r="A715" s="1" t="s">
        <v>98</v>
      </c>
      <c r="B715" s="1" t="s">
        <v>1994</v>
      </c>
      <c r="C715" s="1">
        <v>531.0</v>
      </c>
      <c r="D715" s="1">
        <v>1.0</v>
      </c>
      <c r="E715" s="1">
        <v>532.0</v>
      </c>
      <c r="F715" s="1" t="s">
        <v>1995</v>
      </c>
      <c r="G715" s="1" t="s">
        <v>1996</v>
      </c>
      <c r="H715" s="1" t="s">
        <v>190</v>
      </c>
      <c r="I715" s="1" t="s">
        <v>172</v>
      </c>
      <c r="J715" s="1" t="s">
        <v>1993</v>
      </c>
      <c r="K715" s="1" t="s">
        <v>1878</v>
      </c>
      <c r="L715" s="1"/>
      <c r="M715" s="1" t="s">
        <v>191</v>
      </c>
      <c r="N715" s="6">
        <f>IFERROR(__xludf.DUMMYFUNCTION("IF(REGEXMATCH(A715, ""^00-""), 0, IF(AND(EQ(F715, """"), EQ(G715, """")), 1, 0))"),0.0)</f>
        <v>0</v>
      </c>
      <c r="O715" s="6">
        <f>IFERROR(__xludf.DUMMYFUNCTION("IF(REGEXMATCH(A715, ""^00-""), 0, IF(AND(NE(F715, """"), EQ(G715, """")), 1, 0))"),0.0)</f>
        <v>0</v>
      </c>
      <c r="P715" s="6">
        <f>IFERROR(__xludf.DUMMYFUNCTION("IF(REGEXMATCH(A715, ""^00-""), 0, IF(AND(EQ(F715, """"), NE(G715, """")), 1, 0))"),0.0)</f>
        <v>0</v>
      </c>
      <c r="Q715" s="6">
        <f>IFERROR(__xludf.DUMMYFUNCTION("IF(REGEXMATCH(A715, ""^00-""), 0, IF(AND(NE(F715, """"), NE(G715, """")), 1, 0))"),1.0)</f>
        <v>1</v>
      </c>
      <c r="R715" s="6">
        <f t="shared" si="1"/>
        <v>1</v>
      </c>
    </row>
    <row r="716">
      <c r="A716" s="1" t="s">
        <v>98</v>
      </c>
      <c r="B716" s="1" t="s">
        <v>1997</v>
      </c>
      <c r="C716" s="1">
        <v>528.0</v>
      </c>
      <c r="D716" s="1">
        <v>4.0</v>
      </c>
      <c r="E716" s="1">
        <v>532.0</v>
      </c>
      <c r="F716" s="1" t="s">
        <v>1998</v>
      </c>
      <c r="G716" s="1" t="s">
        <v>1999</v>
      </c>
      <c r="H716" s="1" t="s">
        <v>190</v>
      </c>
      <c r="I716" s="1" t="s">
        <v>172</v>
      </c>
      <c r="J716" s="1" t="s">
        <v>1993</v>
      </c>
      <c r="K716" s="1" t="s">
        <v>1878</v>
      </c>
      <c r="L716" s="1"/>
      <c r="M716" s="1" t="s">
        <v>191</v>
      </c>
      <c r="N716" s="6">
        <f>IFERROR(__xludf.DUMMYFUNCTION("IF(REGEXMATCH(A716, ""^00-""), 0, IF(AND(EQ(F716, """"), EQ(G716, """")), 1, 0))"),0.0)</f>
        <v>0</v>
      </c>
      <c r="O716" s="6">
        <f>IFERROR(__xludf.DUMMYFUNCTION("IF(REGEXMATCH(A716, ""^00-""), 0, IF(AND(NE(F716, """"), EQ(G716, """")), 1, 0))"),0.0)</f>
        <v>0</v>
      </c>
      <c r="P716" s="6">
        <f>IFERROR(__xludf.DUMMYFUNCTION("IF(REGEXMATCH(A716, ""^00-""), 0, IF(AND(EQ(F716, """"), NE(G716, """")), 1, 0))"),0.0)</f>
        <v>0</v>
      </c>
      <c r="Q716" s="6">
        <f>IFERROR(__xludf.DUMMYFUNCTION("IF(REGEXMATCH(A716, ""^00-""), 0, IF(AND(NE(F716, """"), NE(G716, """")), 1, 0))"),1.0)</f>
        <v>1</v>
      </c>
      <c r="R716" s="6">
        <f t="shared" si="1"/>
        <v>1</v>
      </c>
    </row>
    <row r="717">
      <c r="A717" s="1" t="s">
        <v>100</v>
      </c>
      <c r="B717" s="1" t="s">
        <v>2000</v>
      </c>
      <c r="C717" s="1">
        <v>532.0</v>
      </c>
      <c r="D717" s="1">
        <v>0.0</v>
      </c>
      <c r="E717" s="1">
        <v>532.0</v>
      </c>
      <c r="F717" s="1" t="s">
        <v>2001</v>
      </c>
      <c r="G717" s="1" t="s">
        <v>2002</v>
      </c>
      <c r="H717" s="1" t="s">
        <v>190</v>
      </c>
      <c r="I717" s="1" t="s">
        <v>172</v>
      </c>
      <c r="J717" s="1" t="s">
        <v>2003</v>
      </c>
      <c r="K717" s="1" t="s">
        <v>1878</v>
      </c>
      <c r="L717" s="1"/>
      <c r="M717" s="1" t="s">
        <v>191</v>
      </c>
      <c r="N717" s="6">
        <f>IFERROR(__xludf.DUMMYFUNCTION("IF(REGEXMATCH(A717, ""^00-""), 0, IF(AND(EQ(F717, """"), EQ(G717, """")), 1, 0))"),0.0)</f>
        <v>0</v>
      </c>
      <c r="O717" s="6">
        <f>IFERROR(__xludf.DUMMYFUNCTION("IF(REGEXMATCH(A717, ""^00-""), 0, IF(AND(NE(F717, """"), EQ(G717, """")), 1, 0))"),0.0)</f>
        <v>0</v>
      </c>
      <c r="P717" s="6">
        <f>IFERROR(__xludf.DUMMYFUNCTION("IF(REGEXMATCH(A717, ""^00-""), 0, IF(AND(EQ(F717, """"), NE(G717, """")), 1, 0))"),0.0)</f>
        <v>0</v>
      </c>
      <c r="Q717" s="6">
        <f>IFERROR(__xludf.DUMMYFUNCTION("IF(REGEXMATCH(A717, ""^00-""), 0, IF(AND(NE(F717, """"), NE(G717, """")), 1, 0))"),1.0)</f>
        <v>1</v>
      </c>
      <c r="R717" s="6">
        <f t="shared" si="1"/>
        <v>1</v>
      </c>
    </row>
    <row r="718">
      <c r="A718" s="1" t="s">
        <v>100</v>
      </c>
      <c r="B718" s="1" t="s">
        <v>2004</v>
      </c>
      <c r="C718" s="1">
        <v>532.0</v>
      </c>
      <c r="D718" s="1">
        <v>0.0</v>
      </c>
      <c r="E718" s="1">
        <v>532.0</v>
      </c>
      <c r="F718" s="1" t="s">
        <v>2005</v>
      </c>
      <c r="G718" s="1" t="s">
        <v>2006</v>
      </c>
      <c r="H718" s="1" t="s">
        <v>190</v>
      </c>
      <c r="I718" s="1" t="s">
        <v>172</v>
      </c>
      <c r="J718" s="1" t="s">
        <v>2003</v>
      </c>
      <c r="K718" s="1" t="s">
        <v>1878</v>
      </c>
      <c r="L718" s="1"/>
      <c r="M718" s="1" t="s">
        <v>191</v>
      </c>
      <c r="N718" s="6">
        <f>IFERROR(__xludf.DUMMYFUNCTION("IF(REGEXMATCH(A718, ""^00-""), 0, IF(AND(EQ(F718, """"), EQ(G718, """")), 1, 0))"),0.0)</f>
        <v>0</v>
      </c>
      <c r="O718" s="6">
        <f>IFERROR(__xludf.DUMMYFUNCTION("IF(REGEXMATCH(A718, ""^00-""), 0, IF(AND(NE(F718, """"), EQ(G718, """")), 1, 0))"),0.0)</f>
        <v>0</v>
      </c>
      <c r="P718" s="6">
        <f>IFERROR(__xludf.DUMMYFUNCTION("IF(REGEXMATCH(A718, ""^00-""), 0, IF(AND(EQ(F718, """"), NE(G718, """")), 1, 0))"),0.0)</f>
        <v>0</v>
      </c>
      <c r="Q718" s="6">
        <f>IFERROR(__xludf.DUMMYFUNCTION("IF(REGEXMATCH(A718, ""^00-""), 0, IF(AND(NE(F718, """"), NE(G718, """")), 1, 0))"),1.0)</f>
        <v>1</v>
      </c>
      <c r="R718" s="6">
        <f t="shared" si="1"/>
        <v>1</v>
      </c>
    </row>
    <row r="719">
      <c r="A719" s="1" t="s">
        <v>100</v>
      </c>
      <c r="B719" s="1" t="s">
        <v>2007</v>
      </c>
      <c r="C719" s="1">
        <v>532.0</v>
      </c>
      <c r="D719" s="1">
        <v>0.0</v>
      </c>
      <c r="E719" s="1">
        <v>532.0</v>
      </c>
      <c r="F719" s="1" t="s">
        <v>2008</v>
      </c>
      <c r="G719" s="1" t="s">
        <v>2009</v>
      </c>
      <c r="H719" s="1" t="s">
        <v>190</v>
      </c>
      <c r="I719" s="1" t="s">
        <v>172</v>
      </c>
      <c r="J719" s="1" t="s">
        <v>2003</v>
      </c>
      <c r="K719" s="1" t="s">
        <v>1878</v>
      </c>
      <c r="L719" s="1"/>
      <c r="M719" s="1" t="s">
        <v>191</v>
      </c>
      <c r="N719" s="6">
        <f>IFERROR(__xludf.DUMMYFUNCTION("IF(REGEXMATCH(A719, ""^00-""), 0, IF(AND(EQ(F719, """"), EQ(G719, """")), 1, 0))"),0.0)</f>
        <v>0</v>
      </c>
      <c r="O719" s="6">
        <f>IFERROR(__xludf.DUMMYFUNCTION("IF(REGEXMATCH(A719, ""^00-""), 0, IF(AND(NE(F719, """"), EQ(G719, """")), 1, 0))"),0.0)</f>
        <v>0</v>
      </c>
      <c r="P719" s="6">
        <f>IFERROR(__xludf.DUMMYFUNCTION("IF(REGEXMATCH(A719, ""^00-""), 0, IF(AND(EQ(F719, """"), NE(G719, """")), 1, 0))"),0.0)</f>
        <v>0</v>
      </c>
      <c r="Q719" s="6">
        <f>IFERROR(__xludf.DUMMYFUNCTION("IF(REGEXMATCH(A719, ""^00-""), 0, IF(AND(NE(F719, """"), NE(G719, """")), 1, 0))"),1.0)</f>
        <v>1</v>
      </c>
      <c r="R719" s="6">
        <f t="shared" si="1"/>
        <v>1</v>
      </c>
    </row>
    <row r="720">
      <c r="A720" s="1" t="s">
        <v>102</v>
      </c>
      <c r="B720" s="1" t="s">
        <v>2010</v>
      </c>
      <c r="C720" s="1">
        <v>337.0</v>
      </c>
      <c r="D720" s="1">
        <v>195.0</v>
      </c>
      <c r="E720" s="1">
        <v>532.0</v>
      </c>
      <c r="F720" s="1"/>
      <c r="G720" s="1" t="s">
        <v>2011</v>
      </c>
      <c r="H720" s="1" t="s">
        <v>182</v>
      </c>
      <c r="I720" s="1" t="s">
        <v>172</v>
      </c>
      <c r="J720" s="1" t="s">
        <v>2012</v>
      </c>
      <c r="K720" s="1" t="s">
        <v>1878</v>
      </c>
      <c r="L720" s="1"/>
      <c r="M720" s="1" t="s">
        <v>185</v>
      </c>
      <c r="N720" s="6">
        <f>IFERROR(__xludf.DUMMYFUNCTION("IF(REGEXMATCH(A720, ""^00-""), 0, IF(AND(EQ(F720, """"), EQ(G720, """")), 1, 0))"),0.0)</f>
        <v>0</v>
      </c>
      <c r="O720" s="6">
        <f>IFERROR(__xludf.DUMMYFUNCTION("IF(REGEXMATCH(A720, ""^00-""), 0, IF(AND(NE(F720, """"), EQ(G720, """")), 1, 0))"),0.0)</f>
        <v>0</v>
      </c>
      <c r="P720" s="6">
        <f>IFERROR(__xludf.DUMMYFUNCTION("IF(REGEXMATCH(A720, ""^00-""), 0, IF(AND(EQ(F720, """"), NE(G720, """")), 1, 0))"),1.0)</f>
        <v>1</v>
      </c>
      <c r="Q720" s="6">
        <f>IFERROR(__xludf.DUMMYFUNCTION("IF(REGEXMATCH(A720, ""^00-""), 0, IF(AND(NE(F720, """"), NE(G720, """")), 1, 0))"),0.0)</f>
        <v>0</v>
      </c>
      <c r="R720" s="6">
        <f t="shared" si="1"/>
        <v>1</v>
      </c>
    </row>
    <row r="721">
      <c r="A721" s="1" t="s">
        <v>102</v>
      </c>
      <c r="B721" s="1" t="s">
        <v>2013</v>
      </c>
      <c r="C721" s="1">
        <v>508.0</v>
      </c>
      <c r="D721" s="1">
        <v>24.0</v>
      </c>
      <c r="E721" s="1">
        <v>532.0</v>
      </c>
      <c r="F721" s="1" t="s">
        <v>2014</v>
      </c>
      <c r="G721" s="1" t="s">
        <v>2015</v>
      </c>
      <c r="H721" s="1" t="s">
        <v>182</v>
      </c>
      <c r="I721" s="1" t="s">
        <v>172</v>
      </c>
      <c r="J721" s="1" t="s">
        <v>2012</v>
      </c>
      <c r="K721" s="1" t="s">
        <v>1878</v>
      </c>
      <c r="L721" s="1"/>
      <c r="M721" s="1" t="s">
        <v>185</v>
      </c>
      <c r="N721" s="6">
        <f>IFERROR(__xludf.DUMMYFUNCTION("IF(REGEXMATCH(A721, ""^00-""), 0, IF(AND(EQ(F721, """"), EQ(G721, """")), 1, 0))"),0.0)</f>
        <v>0</v>
      </c>
      <c r="O721" s="6">
        <f>IFERROR(__xludf.DUMMYFUNCTION("IF(REGEXMATCH(A721, ""^00-""), 0, IF(AND(NE(F721, """"), EQ(G721, """")), 1, 0))"),0.0)</f>
        <v>0</v>
      </c>
      <c r="P721" s="6">
        <f>IFERROR(__xludf.DUMMYFUNCTION("IF(REGEXMATCH(A721, ""^00-""), 0, IF(AND(EQ(F721, """"), NE(G721, """")), 1, 0))"),0.0)</f>
        <v>0</v>
      </c>
      <c r="Q721" s="6">
        <f>IFERROR(__xludf.DUMMYFUNCTION("IF(REGEXMATCH(A721, ""^00-""), 0, IF(AND(NE(F721, """"), NE(G721, """")), 1, 0))"),1.0)</f>
        <v>1</v>
      </c>
      <c r="R721" s="6">
        <f t="shared" si="1"/>
        <v>1</v>
      </c>
    </row>
    <row r="722">
      <c r="A722" s="1" t="s">
        <v>102</v>
      </c>
      <c r="B722" s="1" t="s">
        <v>2016</v>
      </c>
      <c r="C722" s="1">
        <v>362.0</v>
      </c>
      <c r="D722" s="1">
        <v>170.0</v>
      </c>
      <c r="E722" s="1">
        <v>532.0</v>
      </c>
      <c r="F722" s="1"/>
      <c r="G722" s="1" t="s">
        <v>2017</v>
      </c>
      <c r="H722" s="1" t="s">
        <v>190</v>
      </c>
      <c r="I722" s="1" t="s">
        <v>172</v>
      </c>
      <c r="J722" s="1" t="s">
        <v>2012</v>
      </c>
      <c r="K722" s="1" t="s">
        <v>1878</v>
      </c>
      <c r="L722" s="1"/>
      <c r="M722" s="1" t="s">
        <v>191</v>
      </c>
      <c r="N722" s="6">
        <f>IFERROR(__xludf.DUMMYFUNCTION("IF(REGEXMATCH(A722, ""^00-""), 0, IF(AND(EQ(F722, """"), EQ(G722, """")), 1, 0))"),0.0)</f>
        <v>0</v>
      </c>
      <c r="O722" s="6">
        <f>IFERROR(__xludf.DUMMYFUNCTION("IF(REGEXMATCH(A722, ""^00-""), 0, IF(AND(NE(F722, """"), EQ(G722, """")), 1, 0))"),0.0)</f>
        <v>0</v>
      </c>
      <c r="P722" s="6">
        <f>IFERROR(__xludf.DUMMYFUNCTION("IF(REGEXMATCH(A722, ""^00-""), 0, IF(AND(EQ(F722, """"), NE(G722, """")), 1, 0))"),1.0)</f>
        <v>1</v>
      </c>
      <c r="Q722" s="6">
        <f>IFERROR(__xludf.DUMMYFUNCTION("IF(REGEXMATCH(A722, ""^00-""), 0, IF(AND(NE(F722, """"), NE(G722, """")), 1, 0))"),0.0)</f>
        <v>0</v>
      </c>
      <c r="R722" s="6">
        <f t="shared" si="1"/>
        <v>1</v>
      </c>
    </row>
    <row r="723">
      <c r="A723" s="1" t="s">
        <v>102</v>
      </c>
      <c r="B723" s="1" t="s">
        <v>2018</v>
      </c>
      <c r="C723" s="1">
        <v>374.0</v>
      </c>
      <c r="D723" s="1">
        <v>158.0</v>
      </c>
      <c r="E723" s="1">
        <v>532.0</v>
      </c>
      <c r="F723" s="1" t="s">
        <v>2019</v>
      </c>
      <c r="G723" s="1" t="s">
        <v>2020</v>
      </c>
      <c r="H723" s="1" t="s">
        <v>182</v>
      </c>
      <c r="I723" s="1" t="s">
        <v>172</v>
      </c>
      <c r="J723" s="1" t="s">
        <v>2012</v>
      </c>
      <c r="K723" s="1" t="s">
        <v>1878</v>
      </c>
      <c r="L723" s="1"/>
      <c r="M723" s="1" t="s">
        <v>185</v>
      </c>
      <c r="N723" s="6">
        <f>IFERROR(__xludf.DUMMYFUNCTION("IF(REGEXMATCH(A723, ""^00-""), 0, IF(AND(EQ(F723, """"), EQ(G723, """")), 1, 0))"),0.0)</f>
        <v>0</v>
      </c>
      <c r="O723" s="6">
        <f>IFERROR(__xludf.DUMMYFUNCTION("IF(REGEXMATCH(A723, ""^00-""), 0, IF(AND(NE(F723, """"), EQ(G723, """")), 1, 0))"),0.0)</f>
        <v>0</v>
      </c>
      <c r="P723" s="6">
        <f>IFERROR(__xludf.DUMMYFUNCTION("IF(REGEXMATCH(A723, ""^00-""), 0, IF(AND(EQ(F723, """"), NE(G723, """")), 1, 0))"),0.0)</f>
        <v>0</v>
      </c>
      <c r="Q723" s="6">
        <f>IFERROR(__xludf.DUMMYFUNCTION("IF(REGEXMATCH(A723, ""^00-""), 0, IF(AND(NE(F723, """"), NE(G723, """")), 1, 0))"),1.0)</f>
        <v>1</v>
      </c>
      <c r="R723" s="6">
        <f t="shared" si="1"/>
        <v>1</v>
      </c>
    </row>
    <row r="724">
      <c r="A724" s="1" t="s">
        <v>102</v>
      </c>
      <c r="B724" s="1" t="s">
        <v>2021</v>
      </c>
      <c r="C724" s="1">
        <v>532.0</v>
      </c>
      <c r="D724" s="1">
        <v>0.0</v>
      </c>
      <c r="E724" s="1">
        <v>532.0</v>
      </c>
      <c r="F724" s="1" t="s">
        <v>2022</v>
      </c>
      <c r="G724" s="1" t="s">
        <v>2023</v>
      </c>
      <c r="H724" s="1" t="s">
        <v>190</v>
      </c>
      <c r="I724" s="1" t="s">
        <v>172</v>
      </c>
      <c r="J724" s="1" t="s">
        <v>2012</v>
      </c>
      <c r="K724" s="1" t="s">
        <v>1878</v>
      </c>
      <c r="L724" s="1"/>
      <c r="M724" s="1" t="s">
        <v>191</v>
      </c>
      <c r="N724" s="6">
        <f>IFERROR(__xludf.DUMMYFUNCTION("IF(REGEXMATCH(A724, ""^00-""), 0, IF(AND(EQ(F724, """"), EQ(G724, """")), 1, 0))"),0.0)</f>
        <v>0</v>
      </c>
      <c r="O724" s="6">
        <f>IFERROR(__xludf.DUMMYFUNCTION("IF(REGEXMATCH(A724, ""^00-""), 0, IF(AND(NE(F724, """"), EQ(G724, """")), 1, 0))"),0.0)</f>
        <v>0</v>
      </c>
      <c r="P724" s="6">
        <f>IFERROR(__xludf.DUMMYFUNCTION("IF(REGEXMATCH(A724, ""^00-""), 0, IF(AND(EQ(F724, """"), NE(G724, """")), 1, 0))"),0.0)</f>
        <v>0</v>
      </c>
      <c r="Q724" s="6">
        <f>IFERROR(__xludf.DUMMYFUNCTION("IF(REGEXMATCH(A724, ""^00-""), 0, IF(AND(NE(F724, """"), NE(G724, """")), 1, 0))"),1.0)</f>
        <v>1</v>
      </c>
      <c r="R724" s="6">
        <f t="shared" si="1"/>
        <v>1</v>
      </c>
    </row>
    <row r="725">
      <c r="A725" s="1" t="s">
        <v>102</v>
      </c>
      <c r="B725" s="1" t="s">
        <v>2024</v>
      </c>
      <c r="C725" s="1">
        <v>532.0</v>
      </c>
      <c r="D725" s="1">
        <v>0.0</v>
      </c>
      <c r="E725" s="1">
        <v>532.0</v>
      </c>
      <c r="F725" s="1" t="s">
        <v>2025</v>
      </c>
      <c r="G725" s="1" t="s">
        <v>2026</v>
      </c>
      <c r="H725" s="1" t="s">
        <v>190</v>
      </c>
      <c r="I725" s="1" t="s">
        <v>172</v>
      </c>
      <c r="J725" s="1" t="s">
        <v>2012</v>
      </c>
      <c r="K725" s="1" t="s">
        <v>1878</v>
      </c>
      <c r="L725" s="1"/>
      <c r="M725" s="1" t="s">
        <v>191</v>
      </c>
      <c r="N725" s="6">
        <f>IFERROR(__xludf.DUMMYFUNCTION("IF(REGEXMATCH(A725, ""^00-""), 0, IF(AND(EQ(F725, """"), EQ(G725, """")), 1, 0))"),0.0)</f>
        <v>0</v>
      </c>
      <c r="O725" s="6">
        <f>IFERROR(__xludf.DUMMYFUNCTION("IF(REGEXMATCH(A725, ""^00-""), 0, IF(AND(NE(F725, """"), EQ(G725, """")), 1, 0))"),0.0)</f>
        <v>0</v>
      </c>
      <c r="P725" s="6">
        <f>IFERROR(__xludf.DUMMYFUNCTION("IF(REGEXMATCH(A725, ""^00-""), 0, IF(AND(EQ(F725, """"), NE(G725, """")), 1, 0))"),0.0)</f>
        <v>0</v>
      </c>
      <c r="Q725" s="6">
        <f>IFERROR(__xludf.DUMMYFUNCTION("IF(REGEXMATCH(A725, ""^00-""), 0, IF(AND(NE(F725, """"), NE(G725, """")), 1, 0))"),1.0)</f>
        <v>1</v>
      </c>
      <c r="R725" s="6">
        <f t="shared" si="1"/>
        <v>1</v>
      </c>
    </row>
    <row r="726">
      <c r="A726" s="1" t="s">
        <v>104</v>
      </c>
      <c r="B726" s="1" t="s">
        <v>2027</v>
      </c>
      <c r="C726" s="1">
        <v>364.0</v>
      </c>
      <c r="D726" s="1">
        <v>168.0</v>
      </c>
      <c r="E726" s="1">
        <v>532.0</v>
      </c>
      <c r="F726" s="1"/>
      <c r="G726" s="1" t="s">
        <v>2028</v>
      </c>
      <c r="H726" s="1" t="s">
        <v>190</v>
      </c>
      <c r="I726" s="1" t="s">
        <v>172</v>
      </c>
      <c r="J726" s="1" t="s">
        <v>2029</v>
      </c>
      <c r="K726" s="1" t="s">
        <v>1878</v>
      </c>
      <c r="L726" s="1"/>
      <c r="M726" s="1" t="s">
        <v>191</v>
      </c>
      <c r="N726" s="6">
        <f>IFERROR(__xludf.DUMMYFUNCTION("IF(REGEXMATCH(A726, ""^00-""), 0, IF(AND(EQ(F726, """"), EQ(G726, """")), 1, 0))"),0.0)</f>
        <v>0</v>
      </c>
      <c r="O726" s="6">
        <f>IFERROR(__xludf.DUMMYFUNCTION("IF(REGEXMATCH(A726, ""^00-""), 0, IF(AND(NE(F726, """"), EQ(G726, """")), 1, 0))"),0.0)</f>
        <v>0</v>
      </c>
      <c r="P726" s="6">
        <f>IFERROR(__xludf.DUMMYFUNCTION("IF(REGEXMATCH(A726, ""^00-""), 0, IF(AND(EQ(F726, """"), NE(G726, """")), 1, 0))"),1.0)</f>
        <v>1</v>
      </c>
      <c r="Q726" s="6">
        <f>IFERROR(__xludf.DUMMYFUNCTION("IF(REGEXMATCH(A726, ""^00-""), 0, IF(AND(NE(F726, """"), NE(G726, """")), 1, 0))"),0.0)</f>
        <v>0</v>
      </c>
      <c r="R726" s="6">
        <f t="shared" si="1"/>
        <v>1</v>
      </c>
    </row>
    <row r="727">
      <c r="A727" s="1" t="s">
        <v>104</v>
      </c>
      <c r="B727" s="1" t="s">
        <v>2030</v>
      </c>
      <c r="C727" s="1">
        <v>27.0</v>
      </c>
      <c r="D727" s="1">
        <v>505.0</v>
      </c>
      <c r="E727" s="1">
        <v>532.0</v>
      </c>
      <c r="F727" s="1"/>
      <c r="G727" s="1" t="s">
        <v>2031</v>
      </c>
      <c r="H727" s="1" t="s">
        <v>190</v>
      </c>
      <c r="I727" s="1" t="s">
        <v>172</v>
      </c>
      <c r="J727" s="1" t="s">
        <v>2029</v>
      </c>
      <c r="K727" s="1" t="s">
        <v>1878</v>
      </c>
      <c r="L727" s="1"/>
      <c r="M727" s="1" t="s">
        <v>191</v>
      </c>
      <c r="N727" s="6">
        <f>IFERROR(__xludf.DUMMYFUNCTION("IF(REGEXMATCH(A727, ""^00-""), 0, IF(AND(EQ(F727, """"), EQ(G727, """")), 1, 0))"),0.0)</f>
        <v>0</v>
      </c>
      <c r="O727" s="6">
        <f>IFERROR(__xludf.DUMMYFUNCTION("IF(REGEXMATCH(A727, ""^00-""), 0, IF(AND(NE(F727, """"), EQ(G727, """")), 1, 0))"),0.0)</f>
        <v>0</v>
      </c>
      <c r="P727" s="6">
        <f>IFERROR(__xludf.DUMMYFUNCTION("IF(REGEXMATCH(A727, ""^00-""), 0, IF(AND(EQ(F727, """"), NE(G727, """")), 1, 0))"),1.0)</f>
        <v>1</v>
      </c>
      <c r="Q727" s="6">
        <f>IFERROR(__xludf.DUMMYFUNCTION("IF(REGEXMATCH(A727, ""^00-""), 0, IF(AND(NE(F727, """"), NE(G727, """")), 1, 0))"),0.0)</f>
        <v>0</v>
      </c>
      <c r="R727" s="6">
        <f t="shared" si="1"/>
        <v>1</v>
      </c>
    </row>
    <row r="728">
      <c r="A728" s="1" t="s">
        <v>104</v>
      </c>
      <c r="B728" s="1" t="s">
        <v>2032</v>
      </c>
      <c r="C728" s="1">
        <v>13.0</v>
      </c>
      <c r="D728" s="1">
        <v>519.0</v>
      </c>
      <c r="E728" s="1">
        <v>532.0</v>
      </c>
      <c r="F728" s="1"/>
      <c r="G728" s="1" t="s">
        <v>2033</v>
      </c>
      <c r="H728" s="1" t="s">
        <v>250</v>
      </c>
      <c r="I728" s="1" t="s">
        <v>172</v>
      </c>
      <c r="J728" s="1" t="s">
        <v>2029</v>
      </c>
      <c r="K728" s="1" t="s">
        <v>1878</v>
      </c>
      <c r="L728" s="1"/>
      <c r="M728" s="1" t="s">
        <v>250</v>
      </c>
      <c r="N728" s="6">
        <f>IFERROR(__xludf.DUMMYFUNCTION("IF(REGEXMATCH(A728, ""^00-""), 0, IF(AND(EQ(F728, """"), EQ(G728, """")), 1, 0))"),0.0)</f>
        <v>0</v>
      </c>
      <c r="O728" s="6">
        <f>IFERROR(__xludf.DUMMYFUNCTION("IF(REGEXMATCH(A728, ""^00-""), 0, IF(AND(NE(F728, """"), EQ(G728, """")), 1, 0))"),0.0)</f>
        <v>0</v>
      </c>
      <c r="P728" s="6">
        <f>IFERROR(__xludf.DUMMYFUNCTION("IF(REGEXMATCH(A728, ""^00-""), 0, IF(AND(EQ(F728, """"), NE(G728, """")), 1, 0))"),1.0)</f>
        <v>1</v>
      </c>
      <c r="Q728" s="6">
        <f>IFERROR(__xludf.DUMMYFUNCTION("IF(REGEXMATCH(A728, ""^00-""), 0, IF(AND(NE(F728, """"), NE(G728, """")), 1, 0))"),0.0)</f>
        <v>0</v>
      </c>
      <c r="R728" s="6">
        <f t="shared" si="1"/>
        <v>1</v>
      </c>
    </row>
    <row r="729">
      <c r="A729" s="1" t="s">
        <v>104</v>
      </c>
      <c r="B729" s="1" t="s">
        <v>2034</v>
      </c>
      <c r="C729" s="1">
        <v>10.0</v>
      </c>
      <c r="D729" s="1">
        <v>522.0</v>
      </c>
      <c r="E729" s="1">
        <v>532.0</v>
      </c>
      <c r="F729" s="1"/>
      <c r="G729" s="1" t="s">
        <v>2035</v>
      </c>
      <c r="H729" s="1" t="s">
        <v>250</v>
      </c>
      <c r="I729" s="1" t="s">
        <v>172</v>
      </c>
      <c r="J729" s="1" t="s">
        <v>2029</v>
      </c>
      <c r="K729" s="1" t="s">
        <v>1878</v>
      </c>
      <c r="L729" s="1"/>
      <c r="M729" s="1" t="s">
        <v>250</v>
      </c>
      <c r="N729" s="6">
        <f>IFERROR(__xludf.DUMMYFUNCTION("IF(REGEXMATCH(A729, ""^00-""), 0, IF(AND(EQ(F729, """"), EQ(G729, """")), 1, 0))"),0.0)</f>
        <v>0</v>
      </c>
      <c r="O729" s="6">
        <f>IFERROR(__xludf.DUMMYFUNCTION("IF(REGEXMATCH(A729, ""^00-""), 0, IF(AND(NE(F729, """"), EQ(G729, """")), 1, 0))"),0.0)</f>
        <v>0</v>
      </c>
      <c r="P729" s="6">
        <f>IFERROR(__xludf.DUMMYFUNCTION("IF(REGEXMATCH(A729, ""^00-""), 0, IF(AND(EQ(F729, """"), NE(G729, """")), 1, 0))"),1.0)</f>
        <v>1</v>
      </c>
      <c r="Q729" s="6">
        <f>IFERROR(__xludf.DUMMYFUNCTION("IF(REGEXMATCH(A729, ""^00-""), 0, IF(AND(NE(F729, """"), NE(G729, """")), 1, 0))"),0.0)</f>
        <v>0</v>
      </c>
      <c r="R729" s="6">
        <f t="shared" si="1"/>
        <v>1</v>
      </c>
    </row>
    <row r="730">
      <c r="A730" s="1" t="s">
        <v>104</v>
      </c>
      <c r="B730" s="1" t="s">
        <v>2036</v>
      </c>
      <c r="C730" s="1">
        <v>27.0</v>
      </c>
      <c r="D730" s="1">
        <v>505.0</v>
      </c>
      <c r="E730" s="1">
        <v>532.0</v>
      </c>
      <c r="F730" s="1"/>
      <c r="G730" s="1" t="s">
        <v>2037</v>
      </c>
      <c r="H730" s="1" t="s">
        <v>190</v>
      </c>
      <c r="I730" s="1" t="s">
        <v>172</v>
      </c>
      <c r="J730" s="1" t="s">
        <v>2029</v>
      </c>
      <c r="K730" s="1" t="s">
        <v>1878</v>
      </c>
      <c r="L730" s="1"/>
      <c r="M730" s="1" t="s">
        <v>191</v>
      </c>
      <c r="N730" s="6">
        <f>IFERROR(__xludf.DUMMYFUNCTION("IF(REGEXMATCH(A730, ""^00-""), 0, IF(AND(EQ(F730, """"), EQ(G730, """")), 1, 0))"),0.0)</f>
        <v>0</v>
      </c>
      <c r="O730" s="6">
        <f>IFERROR(__xludf.DUMMYFUNCTION("IF(REGEXMATCH(A730, ""^00-""), 0, IF(AND(NE(F730, """"), EQ(G730, """")), 1, 0))"),0.0)</f>
        <v>0</v>
      </c>
      <c r="P730" s="6">
        <f>IFERROR(__xludf.DUMMYFUNCTION("IF(REGEXMATCH(A730, ""^00-""), 0, IF(AND(EQ(F730, """"), NE(G730, """")), 1, 0))"),1.0)</f>
        <v>1</v>
      </c>
      <c r="Q730" s="6">
        <f>IFERROR(__xludf.DUMMYFUNCTION("IF(REGEXMATCH(A730, ""^00-""), 0, IF(AND(NE(F730, """"), NE(G730, """")), 1, 0))"),0.0)</f>
        <v>0</v>
      </c>
      <c r="R730" s="6">
        <f t="shared" si="1"/>
        <v>1</v>
      </c>
    </row>
    <row r="731">
      <c r="A731" s="1" t="s">
        <v>104</v>
      </c>
      <c r="B731" s="1" t="s">
        <v>2038</v>
      </c>
      <c r="C731" s="1">
        <v>0.0</v>
      </c>
      <c r="D731" s="1">
        <v>532.0</v>
      </c>
      <c r="E731" s="1">
        <v>532.0</v>
      </c>
      <c r="F731" s="1"/>
      <c r="G731" s="1" t="s">
        <v>2039</v>
      </c>
      <c r="H731" s="1" t="s">
        <v>250</v>
      </c>
      <c r="I731" s="1" t="s">
        <v>172</v>
      </c>
      <c r="J731" s="1" t="s">
        <v>2029</v>
      </c>
      <c r="K731" s="1" t="s">
        <v>1878</v>
      </c>
      <c r="L731" s="1"/>
      <c r="M731" s="1" t="s">
        <v>250</v>
      </c>
      <c r="N731" s="6">
        <f>IFERROR(__xludf.DUMMYFUNCTION("IF(REGEXMATCH(A731, ""^00-""), 0, IF(AND(EQ(F731, """"), EQ(G731, """")), 1, 0))"),0.0)</f>
        <v>0</v>
      </c>
      <c r="O731" s="6">
        <f>IFERROR(__xludf.DUMMYFUNCTION("IF(REGEXMATCH(A731, ""^00-""), 0, IF(AND(NE(F731, """"), EQ(G731, """")), 1, 0))"),0.0)</f>
        <v>0</v>
      </c>
      <c r="P731" s="6">
        <f>IFERROR(__xludf.DUMMYFUNCTION("IF(REGEXMATCH(A731, ""^00-""), 0, IF(AND(EQ(F731, """"), NE(G731, """")), 1, 0))"),1.0)</f>
        <v>1</v>
      </c>
      <c r="Q731" s="6">
        <f>IFERROR(__xludf.DUMMYFUNCTION("IF(REGEXMATCH(A731, ""^00-""), 0, IF(AND(NE(F731, """"), NE(G731, """")), 1, 0))"),0.0)</f>
        <v>0</v>
      </c>
      <c r="R731" s="6">
        <f t="shared" si="1"/>
        <v>1</v>
      </c>
    </row>
    <row r="732">
      <c r="A732" s="1" t="s">
        <v>104</v>
      </c>
      <c r="B732" s="1" t="s">
        <v>2040</v>
      </c>
      <c r="C732" s="1">
        <v>0.0</v>
      </c>
      <c r="D732" s="1">
        <v>532.0</v>
      </c>
      <c r="E732" s="1">
        <v>532.0</v>
      </c>
      <c r="F732" s="1"/>
      <c r="G732" s="1" t="s">
        <v>2041</v>
      </c>
      <c r="H732" s="1" t="s">
        <v>250</v>
      </c>
      <c r="I732" s="1" t="s">
        <v>172</v>
      </c>
      <c r="J732" s="1" t="s">
        <v>2029</v>
      </c>
      <c r="K732" s="1" t="s">
        <v>1878</v>
      </c>
      <c r="L732" s="1"/>
      <c r="M732" s="1" t="s">
        <v>250</v>
      </c>
      <c r="N732" s="6">
        <f>IFERROR(__xludf.DUMMYFUNCTION("IF(REGEXMATCH(A732, ""^00-""), 0, IF(AND(EQ(F732, """"), EQ(G732, """")), 1, 0))"),0.0)</f>
        <v>0</v>
      </c>
      <c r="O732" s="6">
        <f>IFERROR(__xludf.DUMMYFUNCTION("IF(REGEXMATCH(A732, ""^00-""), 0, IF(AND(NE(F732, """"), EQ(G732, """")), 1, 0))"),0.0)</f>
        <v>0</v>
      </c>
      <c r="P732" s="6">
        <f>IFERROR(__xludf.DUMMYFUNCTION("IF(REGEXMATCH(A732, ""^00-""), 0, IF(AND(EQ(F732, """"), NE(G732, """")), 1, 0))"),1.0)</f>
        <v>1</v>
      </c>
      <c r="Q732" s="6">
        <f>IFERROR(__xludf.DUMMYFUNCTION("IF(REGEXMATCH(A732, ""^00-""), 0, IF(AND(NE(F732, """"), NE(G732, """")), 1, 0))"),0.0)</f>
        <v>0</v>
      </c>
      <c r="R732" s="6">
        <f t="shared" si="1"/>
        <v>1</v>
      </c>
    </row>
    <row r="733">
      <c r="A733" s="1" t="s">
        <v>104</v>
      </c>
      <c r="B733" s="1" t="s">
        <v>2042</v>
      </c>
      <c r="C733" s="1">
        <v>27.0</v>
      </c>
      <c r="D733" s="1">
        <v>505.0</v>
      </c>
      <c r="E733" s="1">
        <v>532.0</v>
      </c>
      <c r="F733" s="1"/>
      <c r="G733" s="1" t="s">
        <v>2043</v>
      </c>
      <c r="H733" s="1" t="s">
        <v>190</v>
      </c>
      <c r="I733" s="1" t="s">
        <v>172</v>
      </c>
      <c r="J733" s="1" t="s">
        <v>2029</v>
      </c>
      <c r="K733" s="1" t="s">
        <v>1878</v>
      </c>
      <c r="L733" s="1"/>
      <c r="M733" s="1" t="s">
        <v>191</v>
      </c>
      <c r="N733" s="6">
        <f>IFERROR(__xludf.DUMMYFUNCTION("IF(REGEXMATCH(A733, ""^00-""), 0, IF(AND(EQ(F733, """"), EQ(G733, """")), 1, 0))"),0.0)</f>
        <v>0</v>
      </c>
      <c r="O733" s="6">
        <f>IFERROR(__xludf.DUMMYFUNCTION("IF(REGEXMATCH(A733, ""^00-""), 0, IF(AND(NE(F733, """"), EQ(G733, """")), 1, 0))"),0.0)</f>
        <v>0</v>
      </c>
      <c r="P733" s="6">
        <f>IFERROR(__xludf.DUMMYFUNCTION("IF(REGEXMATCH(A733, ""^00-""), 0, IF(AND(EQ(F733, """"), NE(G733, """")), 1, 0))"),1.0)</f>
        <v>1</v>
      </c>
      <c r="Q733" s="6">
        <f>IFERROR(__xludf.DUMMYFUNCTION("IF(REGEXMATCH(A733, ""^00-""), 0, IF(AND(NE(F733, """"), NE(G733, """")), 1, 0))"),0.0)</f>
        <v>0</v>
      </c>
      <c r="R733" s="6">
        <f t="shared" si="1"/>
        <v>1</v>
      </c>
    </row>
    <row r="734">
      <c r="A734" s="1" t="s">
        <v>104</v>
      </c>
      <c r="B734" s="1" t="s">
        <v>2044</v>
      </c>
      <c r="C734" s="1">
        <v>1.0</v>
      </c>
      <c r="D734" s="1">
        <v>531.0</v>
      </c>
      <c r="E734" s="1">
        <v>532.0</v>
      </c>
      <c r="F734" s="1"/>
      <c r="G734" s="1" t="s">
        <v>2045</v>
      </c>
      <c r="H734" s="1" t="s">
        <v>250</v>
      </c>
      <c r="I734" s="1" t="s">
        <v>172</v>
      </c>
      <c r="J734" s="1" t="s">
        <v>2029</v>
      </c>
      <c r="K734" s="1" t="s">
        <v>1878</v>
      </c>
      <c r="L734" s="1"/>
      <c r="M734" s="1" t="s">
        <v>250</v>
      </c>
      <c r="N734" s="6">
        <f>IFERROR(__xludf.DUMMYFUNCTION("IF(REGEXMATCH(A734, ""^00-""), 0, IF(AND(EQ(F734, """"), EQ(G734, """")), 1, 0))"),0.0)</f>
        <v>0</v>
      </c>
      <c r="O734" s="6">
        <f>IFERROR(__xludf.DUMMYFUNCTION("IF(REGEXMATCH(A734, ""^00-""), 0, IF(AND(NE(F734, """"), EQ(G734, """")), 1, 0))"),0.0)</f>
        <v>0</v>
      </c>
      <c r="P734" s="6">
        <f>IFERROR(__xludf.DUMMYFUNCTION("IF(REGEXMATCH(A734, ""^00-""), 0, IF(AND(EQ(F734, """"), NE(G734, """")), 1, 0))"),1.0)</f>
        <v>1</v>
      </c>
      <c r="Q734" s="6">
        <f>IFERROR(__xludf.DUMMYFUNCTION("IF(REGEXMATCH(A734, ""^00-""), 0, IF(AND(NE(F734, """"), NE(G734, """")), 1, 0))"),0.0)</f>
        <v>0</v>
      </c>
      <c r="R734" s="6">
        <f t="shared" si="1"/>
        <v>1</v>
      </c>
    </row>
    <row r="735">
      <c r="A735" s="1" t="s">
        <v>104</v>
      </c>
      <c r="B735" s="1" t="s">
        <v>2046</v>
      </c>
      <c r="C735" s="1">
        <v>1.0</v>
      </c>
      <c r="D735" s="1">
        <v>531.0</v>
      </c>
      <c r="E735" s="1">
        <v>532.0</v>
      </c>
      <c r="F735" s="1"/>
      <c r="G735" s="7" t="s">
        <v>2047</v>
      </c>
      <c r="H735" s="1" t="s">
        <v>250</v>
      </c>
      <c r="I735" s="1" t="s">
        <v>172</v>
      </c>
      <c r="J735" s="1" t="s">
        <v>2029</v>
      </c>
      <c r="K735" s="1" t="s">
        <v>1878</v>
      </c>
      <c r="L735" s="1"/>
      <c r="M735" s="1" t="s">
        <v>250</v>
      </c>
      <c r="N735" s="6">
        <f>IFERROR(__xludf.DUMMYFUNCTION("IF(REGEXMATCH(A735, ""^00-""), 0, IF(AND(EQ(F735, """"), EQ(G735, """")), 1, 0))"),0.0)</f>
        <v>0</v>
      </c>
      <c r="O735" s="6">
        <f>IFERROR(__xludf.DUMMYFUNCTION("IF(REGEXMATCH(A735, ""^00-""), 0, IF(AND(NE(F735, """"), EQ(G735, """")), 1, 0))"),0.0)</f>
        <v>0</v>
      </c>
      <c r="P735" s="6">
        <f>IFERROR(__xludf.DUMMYFUNCTION("IF(REGEXMATCH(A735, ""^00-""), 0, IF(AND(EQ(F735, """"), NE(G735, """")), 1, 0))"),1.0)</f>
        <v>1</v>
      </c>
      <c r="Q735" s="6">
        <f>IFERROR(__xludf.DUMMYFUNCTION("IF(REGEXMATCH(A735, ""^00-""), 0, IF(AND(NE(F735, """"), NE(G735, """")), 1, 0))"),0.0)</f>
        <v>0</v>
      </c>
      <c r="R735" s="6">
        <f t="shared" si="1"/>
        <v>1</v>
      </c>
    </row>
    <row r="736">
      <c r="A736" s="1" t="s">
        <v>104</v>
      </c>
      <c r="B736" s="1" t="s">
        <v>2048</v>
      </c>
      <c r="C736" s="1">
        <v>28.0</v>
      </c>
      <c r="D736" s="1">
        <v>504.0</v>
      </c>
      <c r="E736" s="1">
        <v>532.0</v>
      </c>
      <c r="F736" s="7"/>
      <c r="G736" s="1" t="s">
        <v>2049</v>
      </c>
      <c r="H736" s="1" t="s">
        <v>190</v>
      </c>
      <c r="I736" s="1" t="s">
        <v>172</v>
      </c>
      <c r="J736" s="1" t="s">
        <v>2029</v>
      </c>
      <c r="K736" s="1" t="s">
        <v>1878</v>
      </c>
      <c r="L736" s="1"/>
      <c r="M736" s="1" t="s">
        <v>191</v>
      </c>
      <c r="N736" s="6">
        <f>IFERROR(__xludf.DUMMYFUNCTION("IF(REGEXMATCH(A736, ""^00-""), 0, IF(AND(EQ(F736, """"), EQ(G736, """")), 1, 0))"),0.0)</f>
        <v>0</v>
      </c>
      <c r="O736" s="6">
        <f>IFERROR(__xludf.DUMMYFUNCTION("IF(REGEXMATCH(A736, ""^00-""), 0, IF(AND(NE(F736, """"), EQ(G736, """")), 1, 0))"),0.0)</f>
        <v>0</v>
      </c>
      <c r="P736" s="6">
        <f>IFERROR(__xludf.DUMMYFUNCTION("IF(REGEXMATCH(A736, ""^00-""), 0, IF(AND(EQ(F736, """"), NE(G736, """")), 1, 0))"),1.0)</f>
        <v>1</v>
      </c>
      <c r="Q736" s="6">
        <f>IFERROR(__xludf.DUMMYFUNCTION("IF(REGEXMATCH(A736, ""^00-""), 0, IF(AND(NE(F736, """"), NE(G736, """")), 1, 0))"),0.0)</f>
        <v>0</v>
      </c>
      <c r="R736" s="6">
        <f t="shared" si="1"/>
        <v>1</v>
      </c>
    </row>
    <row r="737">
      <c r="A737" s="1" t="s">
        <v>104</v>
      </c>
      <c r="B737" s="1" t="s">
        <v>2050</v>
      </c>
      <c r="C737" s="1">
        <v>15.0</v>
      </c>
      <c r="D737" s="1">
        <v>517.0</v>
      </c>
      <c r="E737" s="1">
        <v>532.0</v>
      </c>
      <c r="F737" s="1"/>
      <c r="G737" s="1" t="s">
        <v>2051</v>
      </c>
      <c r="H737" s="1" t="s">
        <v>250</v>
      </c>
      <c r="I737" s="1" t="s">
        <v>172</v>
      </c>
      <c r="J737" s="1" t="s">
        <v>2029</v>
      </c>
      <c r="K737" s="1" t="s">
        <v>1878</v>
      </c>
      <c r="L737" s="1"/>
      <c r="M737" s="1" t="s">
        <v>250</v>
      </c>
      <c r="N737" s="6">
        <f>IFERROR(__xludf.DUMMYFUNCTION("IF(REGEXMATCH(A737, ""^00-""), 0, IF(AND(EQ(F737, """"), EQ(G737, """")), 1, 0))"),0.0)</f>
        <v>0</v>
      </c>
      <c r="O737" s="6">
        <f>IFERROR(__xludf.DUMMYFUNCTION("IF(REGEXMATCH(A737, ""^00-""), 0, IF(AND(NE(F737, """"), EQ(G737, """")), 1, 0))"),0.0)</f>
        <v>0</v>
      </c>
      <c r="P737" s="6">
        <f>IFERROR(__xludf.DUMMYFUNCTION("IF(REGEXMATCH(A737, ""^00-""), 0, IF(AND(EQ(F737, """"), NE(G737, """")), 1, 0))"),1.0)</f>
        <v>1</v>
      </c>
      <c r="Q737" s="6">
        <f>IFERROR(__xludf.DUMMYFUNCTION("IF(REGEXMATCH(A737, ""^00-""), 0, IF(AND(NE(F737, """"), NE(G737, """")), 1, 0))"),0.0)</f>
        <v>0</v>
      </c>
      <c r="R737" s="6">
        <f t="shared" si="1"/>
        <v>1</v>
      </c>
    </row>
    <row r="738">
      <c r="A738" s="1" t="s">
        <v>104</v>
      </c>
      <c r="B738" s="1" t="s">
        <v>2052</v>
      </c>
      <c r="C738" s="1">
        <v>8.0</v>
      </c>
      <c r="D738" s="1">
        <v>524.0</v>
      </c>
      <c r="E738" s="1">
        <v>532.0</v>
      </c>
      <c r="F738" s="1"/>
      <c r="G738" s="1" t="s">
        <v>2053</v>
      </c>
      <c r="H738" s="1" t="s">
        <v>250</v>
      </c>
      <c r="I738" s="1" t="s">
        <v>172</v>
      </c>
      <c r="J738" s="1" t="s">
        <v>2029</v>
      </c>
      <c r="K738" s="1" t="s">
        <v>1878</v>
      </c>
      <c r="L738" s="1"/>
      <c r="M738" s="1" t="s">
        <v>250</v>
      </c>
      <c r="N738" s="6">
        <f>IFERROR(__xludf.DUMMYFUNCTION("IF(REGEXMATCH(A738, ""^00-""), 0, IF(AND(EQ(F738, """"), EQ(G738, """")), 1, 0))"),0.0)</f>
        <v>0</v>
      </c>
      <c r="O738" s="6">
        <f>IFERROR(__xludf.DUMMYFUNCTION("IF(REGEXMATCH(A738, ""^00-""), 0, IF(AND(NE(F738, """"), EQ(G738, """")), 1, 0))"),0.0)</f>
        <v>0</v>
      </c>
      <c r="P738" s="6">
        <f>IFERROR(__xludf.DUMMYFUNCTION("IF(REGEXMATCH(A738, ""^00-""), 0, IF(AND(EQ(F738, """"), NE(G738, """")), 1, 0))"),1.0)</f>
        <v>1</v>
      </c>
      <c r="Q738" s="6">
        <f>IFERROR(__xludf.DUMMYFUNCTION("IF(REGEXMATCH(A738, ""^00-""), 0, IF(AND(NE(F738, """"), NE(G738, """")), 1, 0))"),0.0)</f>
        <v>0</v>
      </c>
      <c r="R738" s="6">
        <f t="shared" si="1"/>
        <v>1</v>
      </c>
    </row>
    <row r="739">
      <c r="A739" s="1" t="s">
        <v>106</v>
      </c>
      <c r="B739" s="1" t="s">
        <v>2054</v>
      </c>
      <c r="C739" s="1">
        <v>532.0</v>
      </c>
      <c r="D739" s="1">
        <v>0.0</v>
      </c>
      <c r="E739" s="1">
        <v>532.0</v>
      </c>
      <c r="F739" s="1" t="s">
        <v>2055</v>
      </c>
      <c r="G739" s="1" t="s">
        <v>2056</v>
      </c>
      <c r="H739" s="1" t="s">
        <v>190</v>
      </c>
      <c r="I739" s="1" t="s">
        <v>172</v>
      </c>
      <c r="J739" s="1" t="s">
        <v>2057</v>
      </c>
      <c r="K739" s="1" t="s">
        <v>1878</v>
      </c>
      <c r="L739" s="1"/>
      <c r="M739" s="1" t="s">
        <v>191</v>
      </c>
      <c r="N739" s="6">
        <f>IFERROR(__xludf.DUMMYFUNCTION("IF(REGEXMATCH(A739, ""^00-""), 0, IF(AND(EQ(F739, """"), EQ(G739, """")), 1, 0))"),0.0)</f>
        <v>0</v>
      </c>
      <c r="O739" s="6">
        <f>IFERROR(__xludf.DUMMYFUNCTION("IF(REGEXMATCH(A739, ""^00-""), 0, IF(AND(NE(F739, """"), EQ(G739, """")), 1, 0))"),0.0)</f>
        <v>0</v>
      </c>
      <c r="P739" s="6">
        <f>IFERROR(__xludf.DUMMYFUNCTION("IF(REGEXMATCH(A739, ""^00-""), 0, IF(AND(EQ(F739, """"), NE(G739, """")), 1, 0))"),0.0)</f>
        <v>0</v>
      </c>
      <c r="Q739" s="6">
        <f>IFERROR(__xludf.DUMMYFUNCTION("IF(REGEXMATCH(A739, ""^00-""), 0, IF(AND(NE(F739, """"), NE(G739, """")), 1, 0))"),1.0)</f>
        <v>1</v>
      </c>
      <c r="R739" s="6">
        <f t="shared" si="1"/>
        <v>1</v>
      </c>
    </row>
    <row r="740">
      <c r="A740" s="1" t="s">
        <v>106</v>
      </c>
      <c r="B740" s="1" t="s">
        <v>2058</v>
      </c>
      <c r="C740" s="1">
        <v>421.0</v>
      </c>
      <c r="D740" s="1">
        <v>111.0</v>
      </c>
      <c r="E740" s="1">
        <v>532.0</v>
      </c>
      <c r="F740" s="1" t="s">
        <v>2059</v>
      </c>
      <c r="G740" s="1" t="s">
        <v>2060</v>
      </c>
      <c r="H740" s="1" t="s">
        <v>190</v>
      </c>
      <c r="I740" s="1" t="s">
        <v>172</v>
      </c>
      <c r="J740" s="1" t="s">
        <v>2057</v>
      </c>
      <c r="K740" s="1" t="s">
        <v>1878</v>
      </c>
      <c r="L740" s="1"/>
      <c r="M740" s="1" t="s">
        <v>191</v>
      </c>
      <c r="N740" s="6">
        <f>IFERROR(__xludf.DUMMYFUNCTION("IF(REGEXMATCH(A740, ""^00-""), 0, IF(AND(EQ(F740, """"), EQ(G740, """")), 1, 0))"),0.0)</f>
        <v>0</v>
      </c>
      <c r="O740" s="6">
        <f>IFERROR(__xludf.DUMMYFUNCTION("IF(REGEXMATCH(A740, ""^00-""), 0, IF(AND(NE(F740, """"), EQ(G740, """")), 1, 0))"),0.0)</f>
        <v>0</v>
      </c>
      <c r="P740" s="6">
        <f>IFERROR(__xludf.DUMMYFUNCTION("IF(REGEXMATCH(A740, ""^00-""), 0, IF(AND(EQ(F740, """"), NE(G740, """")), 1, 0))"),0.0)</f>
        <v>0</v>
      </c>
      <c r="Q740" s="6">
        <f>IFERROR(__xludf.DUMMYFUNCTION("IF(REGEXMATCH(A740, ""^00-""), 0, IF(AND(NE(F740, """"), NE(G740, """")), 1, 0))"),1.0)</f>
        <v>1</v>
      </c>
      <c r="R740" s="6">
        <f t="shared" si="1"/>
        <v>1</v>
      </c>
    </row>
    <row r="741">
      <c r="A741" s="1" t="s">
        <v>108</v>
      </c>
      <c r="B741" s="1" t="s">
        <v>2061</v>
      </c>
      <c r="C741" s="1">
        <v>532.0</v>
      </c>
      <c r="D741" s="1">
        <v>0.0</v>
      </c>
      <c r="E741" s="1">
        <v>532.0</v>
      </c>
      <c r="F741" s="1" t="s">
        <v>2062</v>
      </c>
      <c r="G741" s="1" t="s">
        <v>2063</v>
      </c>
      <c r="H741" s="1" t="s">
        <v>190</v>
      </c>
      <c r="I741" s="1" t="s">
        <v>172</v>
      </c>
      <c r="J741" s="1" t="s">
        <v>2064</v>
      </c>
      <c r="K741" s="1" t="s">
        <v>1878</v>
      </c>
      <c r="L741" s="1"/>
      <c r="M741" s="1" t="s">
        <v>191</v>
      </c>
      <c r="N741" s="6">
        <f>IFERROR(__xludf.DUMMYFUNCTION("IF(REGEXMATCH(A741, ""^00-""), 0, IF(AND(EQ(F741, """"), EQ(G741, """")), 1, 0))"),0.0)</f>
        <v>0</v>
      </c>
      <c r="O741" s="6">
        <f>IFERROR(__xludf.DUMMYFUNCTION("IF(REGEXMATCH(A741, ""^00-""), 0, IF(AND(NE(F741, """"), EQ(G741, """")), 1, 0))"),0.0)</f>
        <v>0</v>
      </c>
      <c r="P741" s="6">
        <f>IFERROR(__xludf.DUMMYFUNCTION("IF(REGEXMATCH(A741, ""^00-""), 0, IF(AND(EQ(F741, """"), NE(G741, """")), 1, 0))"),0.0)</f>
        <v>0</v>
      </c>
      <c r="Q741" s="6">
        <f>IFERROR(__xludf.DUMMYFUNCTION("IF(REGEXMATCH(A741, ""^00-""), 0, IF(AND(NE(F741, """"), NE(G741, """")), 1, 0))"),1.0)</f>
        <v>1</v>
      </c>
      <c r="R741" s="6">
        <f t="shared" si="1"/>
        <v>1</v>
      </c>
    </row>
    <row r="742">
      <c r="A742" s="1" t="s">
        <v>108</v>
      </c>
      <c r="B742" s="1" t="s">
        <v>2065</v>
      </c>
      <c r="C742" s="1">
        <v>51.0</v>
      </c>
      <c r="D742" s="1">
        <v>481.0</v>
      </c>
      <c r="E742" s="1">
        <v>532.0</v>
      </c>
      <c r="F742" s="1" t="s">
        <v>2066</v>
      </c>
      <c r="G742" s="7" t="s">
        <v>2067</v>
      </c>
      <c r="H742" s="1" t="s">
        <v>235</v>
      </c>
      <c r="I742" s="1" t="s">
        <v>172</v>
      </c>
      <c r="J742" s="1" t="s">
        <v>2064</v>
      </c>
      <c r="K742" s="1" t="s">
        <v>1878</v>
      </c>
      <c r="L742" s="1"/>
      <c r="M742" s="1" t="s">
        <v>2068</v>
      </c>
      <c r="N742" s="6">
        <f>IFERROR(__xludf.DUMMYFUNCTION("IF(REGEXMATCH(A742, ""^00-""), 0, IF(AND(EQ(F742, """"), EQ(G742, """")), 1, 0))"),0.0)</f>
        <v>0</v>
      </c>
      <c r="O742" s="6">
        <f>IFERROR(__xludf.DUMMYFUNCTION("IF(REGEXMATCH(A742, ""^00-""), 0, IF(AND(NE(F742, """"), EQ(G742, """")), 1, 0))"),0.0)</f>
        <v>0</v>
      </c>
      <c r="P742" s="6">
        <f>IFERROR(__xludf.DUMMYFUNCTION("IF(REGEXMATCH(A742, ""^00-""), 0, IF(AND(EQ(F742, """"), NE(G742, """")), 1, 0))"),0.0)</f>
        <v>0</v>
      </c>
      <c r="Q742" s="6">
        <f>IFERROR(__xludf.DUMMYFUNCTION("IF(REGEXMATCH(A742, ""^00-""), 0, IF(AND(NE(F742, """"), NE(G742, """")), 1, 0))"),1.0)</f>
        <v>1</v>
      </c>
      <c r="R742" s="6">
        <f t="shared" si="1"/>
        <v>1</v>
      </c>
    </row>
    <row r="743">
      <c r="A743" s="1" t="s">
        <v>110</v>
      </c>
      <c r="B743" s="1" t="s">
        <v>2069</v>
      </c>
      <c r="C743" s="1">
        <v>531.0</v>
      </c>
      <c r="D743" s="1">
        <v>1.0</v>
      </c>
      <c r="E743" s="1">
        <v>532.0</v>
      </c>
      <c r="F743" s="1" t="s">
        <v>2070</v>
      </c>
      <c r="G743" s="7" t="s">
        <v>2071</v>
      </c>
      <c r="H743" s="1" t="s">
        <v>190</v>
      </c>
      <c r="I743" s="1" t="s">
        <v>172</v>
      </c>
      <c r="J743" s="1" t="s">
        <v>655</v>
      </c>
      <c r="K743" s="1" t="s">
        <v>1878</v>
      </c>
      <c r="L743" s="1"/>
      <c r="M743" s="1" t="s">
        <v>191</v>
      </c>
      <c r="N743" s="6">
        <f>IFERROR(__xludf.DUMMYFUNCTION("IF(REGEXMATCH(A743, ""^00-""), 0, IF(AND(EQ(F743, """"), EQ(G743, """")), 1, 0))"),0.0)</f>
        <v>0</v>
      </c>
      <c r="O743" s="6">
        <f>IFERROR(__xludf.DUMMYFUNCTION("IF(REGEXMATCH(A743, ""^00-""), 0, IF(AND(NE(F743, """"), EQ(G743, """")), 1, 0))"),0.0)</f>
        <v>0</v>
      </c>
      <c r="P743" s="6">
        <f>IFERROR(__xludf.DUMMYFUNCTION("IF(REGEXMATCH(A743, ""^00-""), 0, IF(AND(EQ(F743, """"), NE(G743, """")), 1, 0))"),0.0)</f>
        <v>0</v>
      </c>
      <c r="Q743" s="6">
        <f>IFERROR(__xludf.DUMMYFUNCTION("IF(REGEXMATCH(A743, ""^00-""), 0, IF(AND(NE(F743, """"), NE(G743, """")), 1, 0))"),1.0)</f>
        <v>1</v>
      </c>
      <c r="R743" s="6">
        <f t="shared" si="1"/>
        <v>1</v>
      </c>
    </row>
    <row r="744">
      <c r="A744" s="1" t="s">
        <v>110</v>
      </c>
      <c r="B744" s="1" t="s">
        <v>2072</v>
      </c>
      <c r="C744" s="1">
        <v>16.0</v>
      </c>
      <c r="D744" s="1">
        <v>516.0</v>
      </c>
      <c r="E744" s="1">
        <v>532.0</v>
      </c>
      <c r="F744" s="1" t="s">
        <v>2073</v>
      </c>
      <c r="G744" s="7" t="s">
        <v>2074</v>
      </c>
      <c r="H744" s="1" t="s">
        <v>235</v>
      </c>
      <c r="I744" s="1" t="s">
        <v>172</v>
      </c>
      <c r="J744" s="1" t="s">
        <v>655</v>
      </c>
      <c r="K744" s="1" t="s">
        <v>1878</v>
      </c>
      <c r="L744" s="1"/>
      <c r="M744" s="1" t="s">
        <v>665</v>
      </c>
      <c r="N744" s="6">
        <f>IFERROR(__xludf.DUMMYFUNCTION("IF(REGEXMATCH(A744, ""^00-""), 0, IF(AND(EQ(F744, """"), EQ(G744, """")), 1, 0))"),0.0)</f>
        <v>0</v>
      </c>
      <c r="O744" s="6">
        <f>IFERROR(__xludf.DUMMYFUNCTION("IF(REGEXMATCH(A744, ""^00-""), 0, IF(AND(NE(F744, """"), EQ(G744, """")), 1, 0))"),0.0)</f>
        <v>0</v>
      </c>
      <c r="P744" s="6">
        <f>IFERROR(__xludf.DUMMYFUNCTION("IF(REGEXMATCH(A744, ""^00-""), 0, IF(AND(EQ(F744, """"), NE(G744, """")), 1, 0))"),0.0)</f>
        <v>0</v>
      </c>
      <c r="Q744" s="6">
        <f>IFERROR(__xludf.DUMMYFUNCTION("IF(REGEXMATCH(A744, ""^00-""), 0, IF(AND(NE(F744, """"), NE(G744, """")), 1, 0))"),1.0)</f>
        <v>1</v>
      </c>
      <c r="R744" s="6">
        <f t="shared" si="1"/>
        <v>1</v>
      </c>
    </row>
    <row r="745">
      <c r="A745" s="1" t="s">
        <v>110</v>
      </c>
      <c r="B745" s="1" t="s">
        <v>2075</v>
      </c>
      <c r="C745" s="1">
        <v>532.0</v>
      </c>
      <c r="D745" s="1">
        <v>0.0</v>
      </c>
      <c r="E745" s="1">
        <v>532.0</v>
      </c>
      <c r="F745" s="1" t="s">
        <v>2076</v>
      </c>
      <c r="G745" s="7" t="s">
        <v>2077</v>
      </c>
      <c r="H745" s="1" t="s">
        <v>190</v>
      </c>
      <c r="I745" s="1" t="s">
        <v>172</v>
      </c>
      <c r="J745" s="1" t="s">
        <v>655</v>
      </c>
      <c r="K745" s="1" t="s">
        <v>1878</v>
      </c>
      <c r="L745" s="1"/>
      <c r="M745" s="1" t="s">
        <v>191</v>
      </c>
      <c r="N745" s="6">
        <f>IFERROR(__xludf.DUMMYFUNCTION("IF(REGEXMATCH(A745, ""^00-""), 0, IF(AND(EQ(F745, """"), EQ(G745, """")), 1, 0))"),0.0)</f>
        <v>0</v>
      </c>
      <c r="O745" s="6">
        <f>IFERROR(__xludf.DUMMYFUNCTION("IF(REGEXMATCH(A745, ""^00-""), 0, IF(AND(NE(F745, """"), EQ(G745, """")), 1, 0))"),0.0)</f>
        <v>0</v>
      </c>
      <c r="P745" s="6">
        <f>IFERROR(__xludf.DUMMYFUNCTION("IF(REGEXMATCH(A745, ""^00-""), 0, IF(AND(EQ(F745, """"), NE(G745, """")), 1, 0))"),0.0)</f>
        <v>0</v>
      </c>
      <c r="Q745" s="6">
        <f>IFERROR(__xludf.DUMMYFUNCTION("IF(REGEXMATCH(A745, ""^00-""), 0, IF(AND(NE(F745, """"), NE(G745, """")), 1, 0))"),1.0)</f>
        <v>1</v>
      </c>
      <c r="R745" s="6">
        <f t="shared" si="1"/>
        <v>1</v>
      </c>
    </row>
    <row r="746">
      <c r="A746" s="1" t="s">
        <v>110</v>
      </c>
      <c r="B746" s="1" t="s">
        <v>2078</v>
      </c>
      <c r="C746" s="1">
        <v>2.0</v>
      </c>
      <c r="D746" s="1">
        <v>530.0</v>
      </c>
      <c r="E746" s="1">
        <v>532.0</v>
      </c>
      <c r="F746" s="1" t="s">
        <v>2079</v>
      </c>
      <c r="G746" s="12" t="s">
        <v>2080</v>
      </c>
      <c r="H746" s="1" t="s">
        <v>235</v>
      </c>
      <c r="I746" s="1" t="s">
        <v>172</v>
      </c>
      <c r="J746" s="1" t="s">
        <v>655</v>
      </c>
      <c r="K746" s="1" t="s">
        <v>1878</v>
      </c>
      <c r="L746" s="1"/>
      <c r="M746" s="1" t="s">
        <v>665</v>
      </c>
      <c r="N746" s="6">
        <f>IFERROR(__xludf.DUMMYFUNCTION("IF(REGEXMATCH(A746, ""^00-""), 0, IF(AND(EQ(F746, """"), EQ(G746, """")), 1, 0))"),0.0)</f>
        <v>0</v>
      </c>
      <c r="O746" s="6">
        <f>IFERROR(__xludf.DUMMYFUNCTION("IF(REGEXMATCH(A746, ""^00-""), 0, IF(AND(NE(F746, """"), EQ(G746, """")), 1, 0))"),0.0)</f>
        <v>0</v>
      </c>
      <c r="P746" s="6">
        <f>IFERROR(__xludf.DUMMYFUNCTION("IF(REGEXMATCH(A746, ""^00-""), 0, IF(AND(EQ(F746, """"), NE(G746, """")), 1, 0))"),0.0)</f>
        <v>0</v>
      </c>
      <c r="Q746" s="6">
        <f>IFERROR(__xludf.DUMMYFUNCTION("IF(REGEXMATCH(A746, ""^00-""), 0, IF(AND(NE(F746, """"), NE(G746, """")), 1, 0))"),1.0)</f>
        <v>1</v>
      </c>
      <c r="R746" s="6">
        <f t="shared" si="1"/>
        <v>1</v>
      </c>
    </row>
    <row r="747">
      <c r="A747" s="1" t="s">
        <v>112</v>
      </c>
      <c r="B747" s="1" t="s">
        <v>2081</v>
      </c>
      <c r="C747" s="1">
        <v>490.0</v>
      </c>
      <c r="D747" s="1">
        <v>42.0</v>
      </c>
      <c r="E747" s="1">
        <v>532.0</v>
      </c>
      <c r="F747" s="1" t="s">
        <v>2082</v>
      </c>
      <c r="G747" s="12" t="s">
        <v>1528</v>
      </c>
      <c r="H747" s="1" t="s">
        <v>250</v>
      </c>
      <c r="I747" s="1" t="s">
        <v>172</v>
      </c>
      <c r="J747" s="1" t="s">
        <v>749</v>
      </c>
      <c r="K747" s="1" t="s">
        <v>1878</v>
      </c>
      <c r="L747" s="1"/>
      <c r="M747" s="1" t="s">
        <v>250</v>
      </c>
      <c r="N747" s="6">
        <f>IFERROR(__xludf.DUMMYFUNCTION("IF(REGEXMATCH(A747, ""^00-""), 0, IF(AND(EQ(F747, """"), EQ(G747, """")), 1, 0))"),0.0)</f>
        <v>0</v>
      </c>
      <c r="O747" s="6">
        <f>IFERROR(__xludf.DUMMYFUNCTION("IF(REGEXMATCH(A747, ""^00-""), 0, IF(AND(NE(F747, """"), EQ(G747, """")), 1, 0))"),0.0)</f>
        <v>0</v>
      </c>
      <c r="P747" s="6">
        <f>IFERROR(__xludf.DUMMYFUNCTION("IF(REGEXMATCH(A747, ""^00-""), 0, IF(AND(EQ(F747, """"), NE(G747, """")), 1, 0))"),0.0)</f>
        <v>0</v>
      </c>
      <c r="Q747" s="6">
        <f>IFERROR(__xludf.DUMMYFUNCTION("IF(REGEXMATCH(A747, ""^00-""), 0, IF(AND(NE(F747, """"), NE(G747, """")), 1, 0))"),1.0)</f>
        <v>1</v>
      </c>
      <c r="R747" s="6">
        <f t="shared" si="1"/>
        <v>1</v>
      </c>
    </row>
    <row r="748">
      <c r="A748" s="1" t="s">
        <v>112</v>
      </c>
      <c r="B748" s="1" t="s">
        <v>2083</v>
      </c>
      <c r="C748" s="1">
        <v>479.0</v>
      </c>
      <c r="D748" s="1">
        <v>53.0</v>
      </c>
      <c r="E748" s="1">
        <v>532.0</v>
      </c>
      <c r="F748" s="1" t="s">
        <v>2084</v>
      </c>
      <c r="G748" s="12" t="s">
        <v>1531</v>
      </c>
      <c r="H748" s="1" t="s">
        <v>254</v>
      </c>
      <c r="I748" s="1" t="s">
        <v>172</v>
      </c>
      <c r="J748" s="1" t="s">
        <v>749</v>
      </c>
      <c r="K748" s="1" t="s">
        <v>1878</v>
      </c>
      <c r="L748" s="1"/>
      <c r="M748" s="1" t="s">
        <v>254</v>
      </c>
      <c r="N748" s="6">
        <f>IFERROR(__xludf.DUMMYFUNCTION("IF(REGEXMATCH(A748, ""^00-""), 0, IF(AND(EQ(F748, """"), EQ(G748, """")), 1, 0))"),0.0)</f>
        <v>0</v>
      </c>
      <c r="O748" s="6">
        <f>IFERROR(__xludf.DUMMYFUNCTION("IF(REGEXMATCH(A748, ""^00-""), 0, IF(AND(NE(F748, """"), EQ(G748, """")), 1, 0))"),0.0)</f>
        <v>0</v>
      </c>
      <c r="P748" s="6">
        <f>IFERROR(__xludf.DUMMYFUNCTION("IF(REGEXMATCH(A748, ""^00-""), 0, IF(AND(EQ(F748, """"), NE(G748, """")), 1, 0))"),0.0)</f>
        <v>0</v>
      </c>
      <c r="Q748" s="6">
        <f>IFERROR(__xludf.DUMMYFUNCTION("IF(REGEXMATCH(A748, ""^00-""), 0, IF(AND(NE(F748, """"), NE(G748, """")), 1, 0))"),1.0)</f>
        <v>1</v>
      </c>
      <c r="R748" s="6">
        <f t="shared" si="1"/>
        <v>1</v>
      </c>
    </row>
    <row r="749">
      <c r="A749" s="1" t="s">
        <v>112</v>
      </c>
      <c r="B749" s="1" t="s">
        <v>2085</v>
      </c>
      <c r="C749" s="1">
        <v>490.0</v>
      </c>
      <c r="D749" s="1">
        <v>42.0</v>
      </c>
      <c r="E749" s="1">
        <v>532.0</v>
      </c>
      <c r="F749" s="1" t="s">
        <v>2086</v>
      </c>
      <c r="G749" s="12" t="s">
        <v>1534</v>
      </c>
      <c r="H749" s="1" t="s">
        <v>269</v>
      </c>
      <c r="I749" s="1" t="s">
        <v>172</v>
      </c>
      <c r="J749" s="1" t="s">
        <v>749</v>
      </c>
      <c r="K749" s="1" t="s">
        <v>1878</v>
      </c>
      <c r="L749" s="1"/>
      <c r="M749" s="1" t="s">
        <v>760</v>
      </c>
      <c r="N749" s="6">
        <f>IFERROR(__xludf.DUMMYFUNCTION("IF(REGEXMATCH(A749, ""^00-""), 0, IF(AND(EQ(F749, """"), EQ(G749, """")), 1, 0))"),0.0)</f>
        <v>0</v>
      </c>
      <c r="O749" s="6">
        <f>IFERROR(__xludf.DUMMYFUNCTION("IF(REGEXMATCH(A749, ""^00-""), 0, IF(AND(NE(F749, """"), EQ(G749, """")), 1, 0))"),0.0)</f>
        <v>0</v>
      </c>
      <c r="P749" s="6">
        <f>IFERROR(__xludf.DUMMYFUNCTION("IF(REGEXMATCH(A749, ""^00-""), 0, IF(AND(EQ(F749, """"), NE(G749, """")), 1, 0))"),0.0)</f>
        <v>0</v>
      </c>
      <c r="Q749" s="6">
        <f>IFERROR(__xludf.DUMMYFUNCTION("IF(REGEXMATCH(A749, ""^00-""), 0, IF(AND(NE(F749, """"), NE(G749, """")), 1, 0))"),1.0)</f>
        <v>1</v>
      </c>
      <c r="R749" s="6">
        <f t="shared" si="1"/>
        <v>1</v>
      </c>
    </row>
    <row r="750">
      <c r="A750" s="1" t="s">
        <v>112</v>
      </c>
      <c r="B750" s="1" t="s">
        <v>2087</v>
      </c>
      <c r="C750" s="1">
        <v>489.0</v>
      </c>
      <c r="D750" s="1">
        <v>43.0</v>
      </c>
      <c r="E750" s="1">
        <v>532.0</v>
      </c>
      <c r="F750" s="1" t="s">
        <v>2088</v>
      </c>
      <c r="G750" s="12" t="s">
        <v>1537</v>
      </c>
      <c r="H750" s="1" t="s">
        <v>269</v>
      </c>
      <c r="I750" s="1" t="s">
        <v>172</v>
      </c>
      <c r="J750" s="1" t="s">
        <v>749</v>
      </c>
      <c r="K750" s="1" t="s">
        <v>1878</v>
      </c>
      <c r="L750" s="1"/>
      <c r="M750" s="1" t="s">
        <v>764</v>
      </c>
      <c r="N750" s="6">
        <f>IFERROR(__xludf.DUMMYFUNCTION("IF(REGEXMATCH(A750, ""^00-""), 0, IF(AND(EQ(F750, """"), EQ(G750, """")), 1, 0))"),0.0)</f>
        <v>0</v>
      </c>
      <c r="O750" s="6">
        <f>IFERROR(__xludf.DUMMYFUNCTION("IF(REGEXMATCH(A750, ""^00-""), 0, IF(AND(NE(F750, """"), EQ(G750, """")), 1, 0))"),0.0)</f>
        <v>0</v>
      </c>
      <c r="P750" s="6">
        <f>IFERROR(__xludf.DUMMYFUNCTION("IF(REGEXMATCH(A750, ""^00-""), 0, IF(AND(EQ(F750, """"), NE(G750, """")), 1, 0))"),0.0)</f>
        <v>0</v>
      </c>
      <c r="Q750" s="6">
        <f>IFERROR(__xludf.DUMMYFUNCTION("IF(REGEXMATCH(A750, ""^00-""), 0, IF(AND(NE(F750, """"), NE(G750, """")), 1, 0))"),1.0)</f>
        <v>1</v>
      </c>
      <c r="R750" s="6">
        <f t="shared" si="1"/>
        <v>1</v>
      </c>
    </row>
    <row r="751">
      <c r="A751" s="1" t="s">
        <v>112</v>
      </c>
      <c r="B751" s="1" t="s">
        <v>2089</v>
      </c>
      <c r="C751" s="1">
        <v>489.0</v>
      </c>
      <c r="D751" s="1">
        <v>43.0</v>
      </c>
      <c r="E751" s="1">
        <v>532.0</v>
      </c>
      <c r="F751" s="1" t="s">
        <v>2090</v>
      </c>
      <c r="G751" s="12" t="s">
        <v>1540</v>
      </c>
      <c r="H751" s="1" t="s">
        <v>269</v>
      </c>
      <c r="I751" s="1" t="s">
        <v>172</v>
      </c>
      <c r="J751" s="1" t="s">
        <v>749</v>
      </c>
      <c r="K751" s="1" t="s">
        <v>1878</v>
      </c>
      <c r="L751" s="1"/>
      <c r="M751" s="1" t="s">
        <v>768</v>
      </c>
      <c r="N751" s="6">
        <f>IFERROR(__xludf.DUMMYFUNCTION("IF(REGEXMATCH(A751, ""^00-""), 0, IF(AND(EQ(F751, """"), EQ(G751, """")), 1, 0))"),0.0)</f>
        <v>0</v>
      </c>
      <c r="O751" s="6">
        <f>IFERROR(__xludf.DUMMYFUNCTION("IF(REGEXMATCH(A751, ""^00-""), 0, IF(AND(NE(F751, """"), EQ(G751, """")), 1, 0))"),0.0)</f>
        <v>0</v>
      </c>
      <c r="P751" s="6">
        <f>IFERROR(__xludf.DUMMYFUNCTION("IF(REGEXMATCH(A751, ""^00-""), 0, IF(AND(EQ(F751, """"), NE(G751, """")), 1, 0))"),0.0)</f>
        <v>0</v>
      </c>
      <c r="Q751" s="6">
        <f>IFERROR(__xludf.DUMMYFUNCTION("IF(REGEXMATCH(A751, ""^00-""), 0, IF(AND(NE(F751, """"), NE(G751, """")), 1, 0))"),1.0)</f>
        <v>1</v>
      </c>
      <c r="R751" s="6">
        <f t="shared" si="1"/>
        <v>1</v>
      </c>
    </row>
    <row r="752">
      <c r="A752" s="1" t="s">
        <v>112</v>
      </c>
      <c r="B752" s="1" t="s">
        <v>2091</v>
      </c>
      <c r="C752" s="1">
        <v>460.0</v>
      </c>
      <c r="D752" s="1">
        <v>72.0</v>
      </c>
      <c r="E752" s="1">
        <v>532.0</v>
      </c>
      <c r="F752" s="1" t="s">
        <v>2092</v>
      </c>
      <c r="G752" s="12" t="s">
        <v>1543</v>
      </c>
      <c r="H752" s="1" t="s">
        <v>269</v>
      </c>
      <c r="I752" s="1" t="s">
        <v>172</v>
      </c>
      <c r="J752" s="1" t="s">
        <v>749</v>
      </c>
      <c r="K752" s="1" t="s">
        <v>1878</v>
      </c>
      <c r="L752" s="1"/>
      <c r="M752" s="1" t="s">
        <v>772</v>
      </c>
      <c r="N752" s="6">
        <f>IFERROR(__xludf.DUMMYFUNCTION("IF(REGEXMATCH(A752, ""^00-""), 0, IF(AND(EQ(F752, """"), EQ(G752, """")), 1, 0))"),0.0)</f>
        <v>0</v>
      </c>
      <c r="O752" s="6">
        <f>IFERROR(__xludf.DUMMYFUNCTION("IF(REGEXMATCH(A752, ""^00-""), 0, IF(AND(NE(F752, """"), EQ(G752, """")), 1, 0))"),0.0)</f>
        <v>0</v>
      </c>
      <c r="P752" s="6">
        <f>IFERROR(__xludf.DUMMYFUNCTION("IF(REGEXMATCH(A752, ""^00-""), 0, IF(AND(EQ(F752, """"), NE(G752, """")), 1, 0))"),0.0)</f>
        <v>0</v>
      </c>
      <c r="Q752" s="6">
        <f>IFERROR(__xludf.DUMMYFUNCTION("IF(REGEXMATCH(A752, ""^00-""), 0, IF(AND(NE(F752, """"), NE(G752, """")), 1, 0))"),1.0)</f>
        <v>1</v>
      </c>
      <c r="R752" s="6">
        <f t="shared" si="1"/>
        <v>1</v>
      </c>
    </row>
    <row r="753">
      <c r="A753" s="1" t="s">
        <v>112</v>
      </c>
      <c r="B753" s="1" t="s">
        <v>2093</v>
      </c>
      <c r="C753" s="1">
        <v>489.0</v>
      </c>
      <c r="D753" s="1">
        <v>43.0</v>
      </c>
      <c r="E753" s="1">
        <v>532.0</v>
      </c>
      <c r="F753" s="1" t="s">
        <v>2094</v>
      </c>
      <c r="G753" s="12" t="s">
        <v>1546</v>
      </c>
      <c r="H753" s="1" t="s">
        <v>269</v>
      </c>
      <c r="I753" s="1" t="s">
        <v>172</v>
      </c>
      <c r="J753" s="1" t="s">
        <v>749</v>
      </c>
      <c r="K753" s="1" t="s">
        <v>1878</v>
      </c>
      <c r="L753" s="1"/>
      <c r="M753" s="1" t="s">
        <v>776</v>
      </c>
      <c r="N753" s="6">
        <f>IFERROR(__xludf.DUMMYFUNCTION("IF(REGEXMATCH(A753, ""^00-""), 0, IF(AND(EQ(F753, """"), EQ(G753, """")), 1, 0))"),0.0)</f>
        <v>0</v>
      </c>
      <c r="O753" s="6">
        <f>IFERROR(__xludf.DUMMYFUNCTION("IF(REGEXMATCH(A753, ""^00-""), 0, IF(AND(NE(F753, """"), EQ(G753, """")), 1, 0))"),0.0)</f>
        <v>0</v>
      </c>
      <c r="P753" s="6">
        <f>IFERROR(__xludf.DUMMYFUNCTION("IF(REGEXMATCH(A753, ""^00-""), 0, IF(AND(EQ(F753, """"), NE(G753, """")), 1, 0))"),0.0)</f>
        <v>0</v>
      </c>
      <c r="Q753" s="6">
        <f>IFERROR(__xludf.DUMMYFUNCTION("IF(REGEXMATCH(A753, ""^00-""), 0, IF(AND(NE(F753, """"), NE(G753, """")), 1, 0))"),1.0)</f>
        <v>1</v>
      </c>
      <c r="R753" s="6">
        <f t="shared" si="1"/>
        <v>1</v>
      </c>
    </row>
    <row r="754">
      <c r="A754" s="1" t="s">
        <v>112</v>
      </c>
      <c r="B754" s="1" t="s">
        <v>2095</v>
      </c>
      <c r="C754" s="1">
        <v>485.0</v>
      </c>
      <c r="D754" s="1">
        <v>47.0</v>
      </c>
      <c r="E754" s="1">
        <v>532.0</v>
      </c>
      <c r="F754" s="1" t="s">
        <v>2096</v>
      </c>
      <c r="G754" s="1" t="s">
        <v>1549</v>
      </c>
      <c r="H754" s="1" t="s">
        <v>269</v>
      </c>
      <c r="I754" s="1" t="s">
        <v>172</v>
      </c>
      <c r="J754" s="1" t="s">
        <v>749</v>
      </c>
      <c r="K754" s="1" t="s">
        <v>1878</v>
      </c>
      <c r="L754" s="1"/>
      <c r="M754" s="1" t="s">
        <v>780</v>
      </c>
      <c r="N754" s="6">
        <f>IFERROR(__xludf.DUMMYFUNCTION("IF(REGEXMATCH(A754, ""^00-""), 0, IF(AND(EQ(F754, """"), EQ(G754, """")), 1, 0))"),0.0)</f>
        <v>0</v>
      </c>
      <c r="O754" s="6">
        <f>IFERROR(__xludf.DUMMYFUNCTION("IF(REGEXMATCH(A754, ""^00-""), 0, IF(AND(NE(F754, """"), EQ(G754, """")), 1, 0))"),0.0)</f>
        <v>0</v>
      </c>
      <c r="P754" s="6">
        <f>IFERROR(__xludf.DUMMYFUNCTION("IF(REGEXMATCH(A754, ""^00-""), 0, IF(AND(EQ(F754, """"), NE(G754, """")), 1, 0))"),0.0)</f>
        <v>0</v>
      </c>
      <c r="Q754" s="6">
        <f>IFERROR(__xludf.DUMMYFUNCTION("IF(REGEXMATCH(A754, ""^00-""), 0, IF(AND(NE(F754, """"), NE(G754, """")), 1, 0))"),1.0)</f>
        <v>1</v>
      </c>
      <c r="R754" s="6">
        <f t="shared" si="1"/>
        <v>1</v>
      </c>
    </row>
    <row r="755">
      <c r="A755" s="1" t="s">
        <v>112</v>
      </c>
      <c r="B755" s="1" t="s">
        <v>2097</v>
      </c>
      <c r="C755" s="1">
        <v>484.0</v>
      </c>
      <c r="D755" s="1">
        <v>48.0</v>
      </c>
      <c r="E755" s="1">
        <v>532.0</v>
      </c>
      <c r="F755" s="1" t="s">
        <v>2098</v>
      </c>
      <c r="G755" s="1" t="s">
        <v>1552</v>
      </c>
      <c r="H755" s="1" t="s">
        <v>269</v>
      </c>
      <c r="I755" s="1" t="s">
        <v>172</v>
      </c>
      <c r="J755" s="1" t="s">
        <v>749</v>
      </c>
      <c r="K755" s="1" t="s">
        <v>1878</v>
      </c>
      <c r="L755" s="1"/>
      <c r="M755" s="1" t="s">
        <v>784</v>
      </c>
      <c r="N755" s="6">
        <f>IFERROR(__xludf.DUMMYFUNCTION("IF(REGEXMATCH(A755, ""^00-""), 0, IF(AND(EQ(F755, """"), EQ(G755, """")), 1, 0))"),0.0)</f>
        <v>0</v>
      </c>
      <c r="O755" s="6">
        <f>IFERROR(__xludf.DUMMYFUNCTION("IF(REGEXMATCH(A755, ""^00-""), 0, IF(AND(NE(F755, """"), EQ(G755, """")), 1, 0))"),0.0)</f>
        <v>0</v>
      </c>
      <c r="P755" s="6">
        <f>IFERROR(__xludf.DUMMYFUNCTION("IF(REGEXMATCH(A755, ""^00-""), 0, IF(AND(EQ(F755, """"), NE(G755, """")), 1, 0))"),0.0)</f>
        <v>0</v>
      </c>
      <c r="Q755" s="6">
        <f>IFERROR(__xludf.DUMMYFUNCTION("IF(REGEXMATCH(A755, ""^00-""), 0, IF(AND(NE(F755, """"), NE(G755, """")), 1, 0))"),1.0)</f>
        <v>1</v>
      </c>
      <c r="R755" s="6">
        <f t="shared" si="1"/>
        <v>1</v>
      </c>
    </row>
    <row r="756">
      <c r="A756" s="1" t="s">
        <v>112</v>
      </c>
      <c r="B756" s="1" t="s">
        <v>2099</v>
      </c>
      <c r="C756" s="1">
        <v>485.0</v>
      </c>
      <c r="D756" s="1">
        <v>47.0</v>
      </c>
      <c r="E756" s="1">
        <v>532.0</v>
      </c>
      <c r="F756" s="1" t="s">
        <v>2100</v>
      </c>
      <c r="G756" s="1" t="s">
        <v>1555</v>
      </c>
      <c r="H756" s="1" t="s">
        <v>269</v>
      </c>
      <c r="I756" s="1" t="s">
        <v>172</v>
      </c>
      <c r="J756" s="1" t="s">
        <v>749</v>
      </c>
      <c r="K756" s="1" t="s">
        <v>1878</v>
      </c>
      <c r="L756" s="1"/>
      <c r="M756" s="1" t="s">
        <v>788</v>
      </c>
      <c r="N756" s="6">
        <f>IFERROR(__xludf.DUMMYFUNCTION("IF(REGEXMATCH(A756, ""^00-""), 0, IF(AND(EQ(F756, """"), EQ(G756, """")), 1, 0))"),0.0)</f>
        <v>0</v>
      </c>
      <c r="O756" s="6">
        <f>IFERROR(__xludf.DUMMYFUNCTION("IF(REGEXMATCH(A756, ""^00-""), 0, IF(AND(NE(F756, """"), EQ(G756, """")), 1, 0))"),0.0)</f>
        <v>0</v>
      </c>
      <c r="P756" s="6">
        <f>IFERROR(__xludf.DUMMYFUNCTION("IF(REGEXMATCH(A756, ""^00-""), 0, IF(AND(EQ(F756, """"), NE(G756, """")), 1, 0))"),0.0)</f>
        <v>0</v>
      </c>
      <c r="Q756" s="6">
        <f>IFERROR(__xludf.DUMMYFUNCTION("IF(REGEXMATCH(A756, ""^00-""), 0, IF(AND(NE(F756, """"), NE(G756, """")), 1, 0))"),1.0)</f>
        <v>1</v>
      </c>
      <c r="R756" s="6">
        <f t="shared" si="1"/>
        <v>1</v>
      </c>
    </row>
    <row r="757">
      <c r="A757" s="1" t="s">
        <v>112</v>
      </c>
      <c r="B757" s="1" t="s">
        <v>2101</v>
      </c>
      <c r="C757" s="1">
        <v>490.0</v>
      </c>
      <c r="D757" s="1">
        <v>42.0</v>
      </c>
      <c r="E757" s="1">
        <v>532.0</v>
      </c>
      <c r="F757" s="1" t="s">
        <v>2102</v>
      </c>
      <c r="G757" s="1" t="s">
        <v>1558</v>
      </c>
      <c r="H757" s="1" t="s">
        <v>269</v>
      </c>
      <c r="I757" s="1" t="s">
        <v>172</v>
      </c>
      <c r="J757" s="1" t="s">
        <v>749</v>
      </c>
      <c r="K757" s="1" t="s">
        <v>1878</v>
      </c>
      <c r="L757" s="1"/>
      <c r="M757" s="1" t="s">
        <v>792</v>
      </c>
      <c r="N757" s="6">
        <f>IFERROR(__xludf.DUMMYFUNCTION("IF(REGEXMATCH(A757, ""^00-""), 0, IF(AND(EQ(F757, """"), EQ(G757, """")), 1, 0))"),0.0)</f>
        <v>0</v>
      </c>
      <c r="O757" s="6">
        <f>IFERROR(__xludf.DUMMYFUNCTION("IF(REGEXMATCH(A757, ""^00-""), 0, IF(AND(NE(F757, """"), EQ(G757, """")), 1, 0))"),0.0)</f>
        <v>0</v>
      </c>
      <c r="P757" s="6">
        <f>IFERROR(__xludf.DUMMYFUNCTION("IF(REGEXMATCH(A757, ""^00-""), 0, IF(AND(EQ(F757, """"), NE(G757, """")), 1, 0))"),0.0)</f>
        <v>0</v>
      </c>
      <c r="Q757" s="6">
        <f>IFERROR(__xludf.DUMMYFUNCTION("IF(REGEXMATCH(A757, ""^00-""), 0, IF(AND(NE(F757, """"), NE(G757, """")), 1, 0))"),1.0)</f>
        <v>1</v>
      </c>
      <c r="R757" s="6">
        <f t="shared" si="1"/>
        <v>1</v>
      </c>
    </row>
    <row r="758">
      <c r="A758" s="1" t="s">
        <v>112</v>
      </c>
      <c r="B758" s="1" t="s">
        <v>2103</v>
      </c>
      <c r="C758" s="1">
        <v>487.0</v>
      </c>
      <c r="D758" s="1">
        <v>45.0</v>
      </c>
      <c r="E758" s="1">
        <v>532.0</v>
      </c>
      <c r="F758" s="1" t="s">
        <v>2104</v>
      </c>
      <c r="G758" s="1" t="s">
        <v>1561</v>
      </c>
      <c r="H758" s="1" t="s">
        <v>190</v>
      </c>
      <c r="I758" s="1" t="s">
        <v>172</v>
      </c>
      <c r="J758" s="1" t="s">
        <v>749</v>
      </c>
      <c r="K758" s="1" t="s">
        <v>1878</v>
      </c>
      <c r="L758" s="1"/>
      <c r="M758" s="1" t="s">
        <v>191</v>
      </c>
      <c r="N758" s="6">
        <f>IFERROR(__xludf.DUMMYFUNCTION("IF(REGEXMATCH(A758, ""^00-""), 0, IF(AND(EQ(F758, """"), EQ(G758, """")), 1, 0))"),0.0)</f>
        <v>0</v>
      </c>
      <c r="O758" s="6">
        <f>IFERROR(__xludf.DUMMYFUNCTION("IF(REGEXMATCH(A758, ""^00-""), 0, IF(AND(NE(F758, """"), EQ(G758, """")), 1, 0))"),0.0)</f>
        <v>0</v>
      </c>
      <c r="P758" s="6">
        <f>IFERROR(__xludf.DUMMYFUNCTION("IF(REGEXMATCH(A758, ""^00-""), 0, IF(AND(EQ(F758, """"), NE(G758, """")), 1, 0))"),0.0)</f>
        <v>0</v>
      </c>
      <c r="Q758" s="6">
        <f>IFERROR(__xludf.DUMMYFUNCTION("IF(REGEXMATCH(A758, ""^00-""), 0, IF(AND(NE(F758, """"), NE(G758, """")), 1, 0))"),1.0)</f>
        <v>1</v>
      </c>
      <c r="R758" s="6">
        <f t="shared" si="1"/>
        <v>1</v>
      </c>
    </row>
    <row r="759">
      <c r="A759" s="1" t="s">
        <v>112</v>
      </c>
      <c r="B759" s="1" t="s">
        <v>2105</v>
      </c>
      <c r="C759" s="1">
        <v>484.0</v>
      </c>
      <c r="D759" s="1">
        <v>48.0</v>
      </c>
      <c r="E759" s="1">
        <v>532.0</v>
      </c>
      <c r="F759" s="1" t="s">
        <v>2106</v>
      </c>
      <c r="G759" s="1" t="s">
        <v>1567</v>
      </c>
      <c r="H759" s="1" t="s">
        <v>190</v>
      </c>
      <c r="I759" s="1" t="s">
        <v>172</v>
      </c>
      <c r="J759" s="1" t="s">
        <v>749</v>
      </c>
      <c r="K759" s="1" t="s">
        <v>1878</v>
      </c>
      <c r="L759" s="1"/>
      <c r="M759" s="1" t="s">
        <v>191</v>
      </c>
      <c r="N759" s="6">
        <f>IFERROR(__xludf.DUMMYFUNCTION("IF(REGEXMATCH(A759, ""^00-""), 0, IF(AND(EQ(F759, """"), EQ(G759, """")), 1, 0))"),0.0)</f>
        <v>0</v>
      </c>
      <c r="O759" s="6">
        <f>IFERROR(__xludf.DUMMYFUNCTION("IF(REGEXMATCH(A759, ""^00-""), 0, IF(AND(NE(F759, """"), EQ(G759, """")), 1, 0))"),0.0)</f>
        <v>0</v>
      </c>
      <c r="P759" s="6">
        <f>IFERROR(__xludf.DUMMYFUNCTION("IF(REGEXMATCH(A759, ""^00-""), 0, IF(AND(EQ(F759, """"), NE(G759, """")), 1, 0))"),0.0)</f>
        <v>0</v>
      </c>
      <c r="Q759" s="6">
        <f>IFERROR(__xludf.DUMMYFUNCTION("IF(REGEXMATCH(A759, ""^00-""), 0, IF(AND(NE(F759, """"), NE(G759, """")), 1, 0))"),1.0)</f>
        <v>1</v>
      </c>
      <c r="R759" s="6">
        <f t="shared" si="1"/>
        <v>1</v>
      </c>
    </row>
    <row r="760">
      <c r="A760" s="1" t="s">
        <v>112</v>
      </c>
      <c r="B760" s="1" t="s">
        <v>2107</v>
      </c>
      <c r="C760" s="1">
        <v>485.0</v>
      </c>
      <c r="D760" s="1">
        <v>47.0</v>
      </c>
      <c r="E760" s="1">
        <v>532.0</v>
      </c>
      <c r="F760" s="1" t="s">
        <v>2108</v>
      </c>
      <c r="G760" s="1" t="s">
        <v>1570</v>
      </c>
      <c r="H760" s="1" t="s">
        <v>190</v>
      </c>
      <c r="I760" s="1" t="s">
        <v>172</v>
      </c>
      <c r="J760" s="1" t="s">
        <v>749</v>
      </c>
      <c r="K760" s="1" t="s">
        <v>1878</v>
      </c>
      <c r="L760" s="1"/>
      <c r="M760" s="1" t="s">
        <v>191</v>
      </c>
      <c r="N760" s="6">
        <f>IFERROR(__xludf.DUMMYFUNCTION("IF(REGEXMATCH(A760, ""^00-""), 0, IF(AND(EQ(F760, """"), EQ(G760, """")), 1, 0))"),0.0)</f>
        <v>0</v>
      </c>
      <c r="O760" s="6">
        <f>IFERROR(__xludf.DUMMYFUNCTION("IF(REGEXMATCH(A760, ""^00-""), 0, IF(AND(NE(F760, """"), EQ(G760, """")), 1, 0))"),0.0)</f>
        <v>0</v>
      </c>
      <c r="P760" s="6">
        <f>IFERROR(__xludf.DUMMYFUNCTION("IF(REGEXMATCH(A760, ""^00-""), 0, IF(AND(EQ(F760, """"), NE(G760, """")), 1, 0))"),0.0)</f>
        <v>0</v>
      </c>
      <c r="Q760" s="6">
        <f>IFERROR(__xludf.DUMMYFUNCTION("IF(REGEXMATCH(A760, ""^00-""), 0, IF(AND(NE(F760, """"), NE(G760, """")), 1, 0))"),1.0)</f>
        <v>1</v>
      </c>
      <c r="R760" s="6">
        <f t="shared" si="1"/>
        <v>1</v>
      </c>
    </row>
    <row r="761">
      <c r="A761" s="1" t="s">
        <v>112</v>
      </c>
      <c r="B761" s="1" t="s">
        <v>2109</v>
      </c>
      <c r="C761" s="1">
        <v>487.0</v>
      </c>
      <c r="D761" s="1">
        <v>45.0</v>
      </c>
      <c r="E761" s="1">
        <v>532.0</v>
      </c>
      <c r="F761" s="1" t="s">
        <v>2110</v>
      </c>
      <c r="G761" s="1" t="s">
        <v>1573</v>
      </c>
      <c r="H761" s="1" t="s">
        <v>190</v>
      </c>
      <c r="I761" s="1" t="s">
        <v>172</v>
      </c>
      <c r="J761" s="1" t="s">
        <v>749</v>
      </c>
      <c r="K761" s="1" t="s">
        <v>1878</v>
      </c>
      <c r="L761" s="1"/>
      <c r="M761" s="1" t="s">
        <v>191</v>
      </c>
      <c r="N761" s="6">
        <f>IFERROR(__xludf.DUMMYFUNCTION("IF(REGEXMATCH(A761, ""^00-""), 0, IF(AND(EQ(F761, """"), EQ(G761, """")), 1, 0))"),0.0)</f>
        <v>0</v>
      </c>
      <c r="O761" s="6">
        <f>IFERROR(__xludf.DUMMYFUNCTION("IF(REGEXMATCH(A761, ""^00-""), 0, IF(AND(NE(F761, """"), EQ(G761, """")), 1, 0))"),0.0)</f>
        <v>0</v>
      </c>
      <c r="P761" s="6">
        <f>IFERROR(__xludf.DUMMYFUNCTION("IF(REGEXMATCH(A761, ""^00-""), 0, IF(AND(EQ(F761, """"), NE(G761, """")), 1, 0))"),0.0)</f>
        <v>0</v>
      </c>
      <c r="Q761" s="6">
        <f>IFERROR(__xludf.DUMMYFUNCTION("IF(REGEXMATCH(A761, ""^00-""), 0, IF(AND(NE(F761, """"), NE(G761, """")), 1, 0))"),1.0)</f>
        <v>1</v>
      </c>
      <c r="R761" s="6">
        <f t="shared" si="1"/>
        <v>1</v>
      </c>
    </row>
    <row r="762">
      <c r="A762" s="1" t="s">
        <v>112</v>
      </c>
      <c r="B762" s="1" t="s">
        <v>2111</v>
      </c>
      <c r="C762" s="1">
        <v>486.0</v>
      </c>
      <c r="D762" s="1">
        <v>46.0</v>
      </c>
      <c r="E762" s="1">
        <v>532.0</v>
      </c>
      <c r="F762" s="1" t="s">
        <v>2112</v>
      </c>
      <c r="G762" s="1" t="s">
        <v>1576</v>
      </c>
      <c r="H762" s="1" t="s">
        <v>190</v>
      </c>
      <c r="I762" s="1" t="s">
        <v>172</v>
      </c>
      <c r="J762" s="1" t="s">
        <v>749</v>
      </c>
      <c r="K762" s="1" t="s">
        <v>1878</v>
      </c>
      <c r="L762" s="1"/>
      <c r="M762" s="1" t="s">
        <v>191</v>
      </c>
      <c r="N762" s="6">
        <f>IFERROR(__xludf.DUMMYFUNCTION("IF(REGEXMATCH(A762, ""^00-""), 0, IF(AND(EQ(F762, """"), EQ(G762, """")), 1, 0))"),0.0)</f>
        <v>0</v>
      </c>
      <c r="O762" s="6">
        <f>IFERROR(__xludf.DUMMYFUNCTION("IF(REGEXMATCH(A762, ""^00-""), 0, IF(AND(NE(F762, """"), EQ(G762, """")), 1, 0))"),0.0)</f>
        <v>0</v>
      </c>
      <c r="P762" s="6">
        <f>IFERROR(__xludf.DUMMYFUNCTION("IF(REGEXMATCH(A762, ""^00-""), 0, IF(AND(EQ(F762, """"), NE(G762, """")), 1, 0))"),0.0)</f>
        <v>0</v>
      </c>
      <c r="Q762" s="6">
        <f>IFERROR(__xludf.DUMMYFUNCTION("IF(REGEXMATCH(A762, ""^00-""), 0, IF(AND(NE(F762, """"), NE(G762, """")), 1, 0))"),1.0)</f>
        <v>1</v>
      </c>
      <c r="R762" s="6">
        <f t="shared" si="1"/>
        <v>1</v>
      </c>
    </row>
    <row r="763">
      <c r="A763" s="1" t="s">
        <v>112</v>
      </c>
      <c r="B763" s="1" t="s">
        <v>2113</v>
      </c>
      <c r="C763" s="1">
        <v>333.0</v>
      </c>
      <c r="D763" s="1">
        <v>199.0</v>
      </c>
      <c r="E763" s="1">
        <v>532.0</v>
      </c>
      <c r="F763" s="1"/>
      <c r="G763" s="1" t="s">
        <v>1564</v>
      </c>
      <c r="H763" s="1" t="s">
        <v>190</v>
      </c>
      <c r="I763" s="1" t="s">
        <v>172</v>
      </c>
      <c r="J763" s="1" t="s">
        <v>749</v>
      </c>
      <c r="K763" s="1" t="s">
        <v>1878</v>
      </c>
      <c r="L763" s="1"/>
      <c r="M763" s="1" t="s">
        <v>191</v>
      </c>
      <c r="N763" s="6">
        <f>IFERROR(__xludf.DUMMYFUNCTION("IF(REGEXMATCH(A763, ""^00-""), 0, IF(AND(EQ(F763, """"), EQ(G763, """")), 1, 0))"),0.0)</f>
        <v>0</v>
      </c>
      <c r="O763" s="6">
        <f>IFERROR(__xludf.DUMMYFUNCTION("IF(REGEXMATCH(A763, ""^00-""), 0, IF(AND(NE(F763, """"), EQ(G763, """")), 1, 0))"),0.0)</f>
        <v>0</v>
      </c>
      <c r="P763" s="6">
        <f>IFERROR(__xludf.DUMMYFUNCTION("IF(REGEXMATCH(A763, ""^00-""), 0, IF(AND(EQ(F763, """"), NE(G763, """")), 1, 0))"),1.0)</f>
        <v>1</v>
      </c>
      <c r="Q763" s="6">
        <f>IFERROR(__xludf.DUMMYFUNCTION("IF(REGEXMATCH(A763, ""^00-""), 0, IF(AND(NE(F763, """"), NE(G763, """")), 1, 0))"),0.0)</f>
        <v>0</v>
      </c>
      <c r="R763" s="6">
        <f t="shared" si="1"/>
        <v>1</v>
      </c>
    </row>
    <row r="764">
      <c r="A764" s="1" t="s">
        <v>112</v>
      </c>
      <c r="B764" s="1" t="s">
        <v>2114</v>
      </c>
      <c r="C764" s="1">
        <v>157.0</v>
      </c>
      <c r="D764" s="1">
        <v>375.0</v>
      </c>
      <c r="E764" s="1">
        <v>532.0</v>
      </c>
      <c r="F764" s="1" t="s">
        <v>2115</v>
      </c>
      <c r="G764" s="1"/>
      <c r="H764" s="1" t="s">
        <v>190</v>
      </c>
      <c r="I764" s="1" t="s">
        <v>172</v>
      </c>
      <c r="J764" s="1" t="s">
        <v>749</v>
      </c>
      <c r="K764" s="1" t="s">
        <v>1878</v>
      </c>
      <c r="L764" s="1"/>
      <c r="M764" s="1" t="s">
        <v>191</v>
      </c>
      <c r="N764" s="6">
        <f>IFERROR(__xludf.DUMMYFUNCTION("IF(REGEXMATCH(A764, ""^00-""), 0, IF(AND(EQ(F764, """"), EQ(G764, """")), 1, 0))"),0.0)</f>
        <v>0</v>
      </c>
      <c r="O764" s="6">
        <f>IFERROR(__xludf.DUMMYFUNCTION("IF(REGEXMATCH(A764, ""^00-""), 0, IF(AND(NE(F764, """"), EQ(G764, """")), 1, 0))"),1.0)</f>
        <v>1</v>
      </c>
      <c r="P764" s="6">
        <f>IFERROR(__xludf.DUMMYFUNCTION("IF(REGEXMATCH(A764, ""^00-""), 0, IF(AND(EQ(F764, """"), NE(G764, """")), 1, 0))"),0.0)</f>
        <v>0</v>
      </c>
      <c r="Q764" s="6">
        <f>IFERROR(__xludf.DUMMYFUNCTION("IF(REGEXMATCH(A764, ""^00-""), 0, IF(AND(NE(F764, """"), NE(G764, """")), 1, 0))"),0.0)</f>
        <v>0</v>
      </c>
      <c r="R764" s="6">
        <f t="shared" si="1"/>
        <v>1</v>
      </c>
    </row>
    <row r="765">
      <c r="A765" s="1" t="s">
        <v>112</v>
      </c>
      <c r="B765" s="1" t="s">
        <v>2116</v>
      </c>
      <c r="C765" s="1">
        <v>309.0</v>
      </c>
      <c r="D765" s="1">
        <v>223.0</v>
      </c>
      <c r="E765" s="1">
        <v>532.0</v>
      </c>
      <c r="F765" s="1"/>
      <c r="G765" s="1" t="s">
        <v>1580</v>
      </c>
      <c r="H765" s="1" t="s">
        <v>190</v>
      </c>
      <c r="I765" s="1" t="s">
        <v>172</v>
      </c>
      <c r="J765" s="1" t="s">
        <v>749</v>
      </c>
      <c r="K765" s="1" t="s">
        <v>1878</v>
      </c>
      <c r="L765" s="1"/>
      <c r="M765" s="1" t="s">
        <v>191</v>
      </c>
      <c r="N765" s="6">
        <f>IFERROR(__xludf.DUMMYFUNCTION("IF(REGEXMATCH(A765, ""^00-""), 0, IF(AND(EQ(F765, """"), EQ(G765, """")), 1, 0))"),0.0)</f>
        <v>0</v>
      </c>
      <c r="O765" s="6">
        <f>IFERROR(__xludf.DUMMYFUNCTION("IF(REGEXMATCH(A765, ""^00-""), 0, IF(AND(NE(F765, """"), EQ(G765, """")), 1, 0))"),0.0)</f>
        <v>0</v>
      </c>
      <c r="P765" s="6">
        <f>IFERROR(__xludf.DUMMYFUNCTION("IF(REGEXMATCH(A765, ""^00-""), 0, IF(AND(EQ(F765, """"), NE(G765, """")), 1, 0))"),1.0)</f>
        <v>1</v>
      </c>
      <c r="Q765" s="6">
        <f>IFERROR(__xludf.DUMMYFUNCTION("IF(REGEXMATCH(A765, ""^00-""), 0, IF(AND(NE(F765, """"), NE(G765, """")), 1, 0))"),0.0)</f>
        <v>0</v>
      </c>
      <c r="R765" s="6">
        <f t="shared" si="1"/>
        <v>1</v>
      </c>
    </row>
    <row r="766">
      <c r="A766" s="1" t="s">
        <v>114</v>
      </c>
      <c r="B766" s="1" t="s">
        <v>2117</v>
      </c>
      <c r="C766" s="1">
        <v>490.0</v>
      </c>
      <c r="D766" s="1">
        <v>42.0</v>
      </c>
      <c r="E766" s="1">
        <v>532.0</v>
      </c>
      <c r="F766" s="1"/>
      <c r="G766" s="1"/>
      <c r="H766" s="1" t="s">
        <v>182</v>
      </c>
      <c r="I766" s="1" t="s">
        <v>172</v>
      </c>
      <c r="J766" s="1" t="s">
        <v>749</v>
      </c>
      <c r="K766" s="1" t="s">
        <v>1878</v>
      </c>
      <c r="L766" s="1"/>
      <c r="M766" s="1" t="s">
        <v>185</v>
      </c>
      <c r="N766" s="6">
        <f>IFERROR(__xludf.DUMMYFUNCTION("IF(REGEXMATCH(A766, ""^00-""), 0, IF(AND(EQ(F766, """"), EQ(G766, """")), 1, 0))"),1.0)</f>
        <v>1</v>
      </c>
      <c r="O766" s="6">
        <f>IFERROR(__xludf.DUMMYFUNCTION("IF(REGEXMATCH(A766, ""^00-""), 0, IF(AND(NE(F766, """"), EQ(G766, """")), 1, 0))"),0.0)</f>
        <v>0</v>
      </c>
      <c r="P766" s="6">
        <f>IFERROR(__xludf.DUMMYFUNCTION("IF(REGEXMATCH(A766, ""^00-""), 0, IF(AND(EQ(F766, """"), NE(G766, """")), 1, 0))"),0.0)</f>
        <v>0</v>
      </c>
      <c r="Q766" s="6">
        <f>IFERROR(__xludf.DUMMYFUNCTION("IF(REGEXMATCH(A766, ""^00-""), 0, IF(AND(NE(F766, """"), NE(G766, """")), 1, 0))"),0.0)</f>
        <v>0</v>
      </c>
      <c r="R766" s="6">
        <f t="shared" si="1"/>
        <v>1</v>
      </c>
    </row>
    <row r="767">
      <c r="A767" s="1" t="s">
        <v>114</v>
      </c>
      <c r="B767" s="1" t="s">
        <v>2118</v>
      </c>
      <c r="C767" s="1">
        <v>490.0</v>
      </c>
      <c r="D767" s="1">
        <v>42.0</v>
      </c>
      <c r="E767" s="1">
        <v>532.0</v>
      </c>
      <c r="F767" s="1"/>
      <c r="G767" s="1"/>
      <c r="H767" s="1" t="s">
        <v>182</v>
      </c>
      <c r="I767" s="1" t="s">
        <v>172</v>
      </c>
      <c r="J767" s="1" t="s">
        <v>749</v>
      </c>
      <c r="K767" s="1" t="s">
        <v>1878</v>
      </c>
      <c r="L767" s="1"/>
      <c r="M767" s="1" t="s">
        <v>185</v>
      </c>
      <c r="N767" s="6">
        <f>IFERROR(__xludf.DUMMYFUNCTION("IF(REGEXMATCH(A767, ""^00-""), 0, IF(AND(EQ(F767, """"), EQ(G767, """")), 1, 0))"),1.0)</f>
        <v>1</v>
      </c>
      <c r="O767" s="6">
        <f>IFERROR(__xludf.DUMMYFUNCTION("IF(REGEXMATCH(A767, ""^00-""), 0, IF(AND(NE(F767, """"), EQ(G767, """")), 1, 0))"),0.0)</f>
        <v>0</v>
      </c>
      <c r="P767" s="6">
        <f>IFERROR(__xludf.DUMMYFUNCTION("IF(REGEXMATCH(A767, ""^00-""), 0, IF(AND(EQ(F767, """"), NE(G767, """")), 1, 0))"),0.0)</f>
        <v>0</v>
      </c>
      <c r="Q767" s="6">
        <f>IFERROR(__xludf.DUMMYFUNCTION("IF(REGEXMATCH(A767, ""^00-""), 0, IF(AND(NE(F767, """"), NE(G767, """")), 1, 0))"),0.0)</f>
        <v>0</v>
      </c>
      <c r="R767" s="6">
        <f t="shared" si="1"/>
        <v>1</v>
      </c>
    </row>
    <row r="768">
      <c r="A768" s="1" t="s">
        <v>114</v>
      </c>
      <c r="B768" s="1" t="s">
        <v>2119</v>
      </c>
      <c r="C768" s="1">
        <v>490.0</v>
      </c>
      <c r="D768" s="1">
        <v>42.0</v>
      </c>
      <c r="E768" s="1">
        <v>532.0</v>
      </c>
      <c r="F768" s="1"/>
      <c r="G768" s="1"/>
      <c r="H768" s="1" t="s">
        <v>182</v>
      </c>
      <c r="I768" s="1" t="s">
        <v>172</v>
      </c>
      <c r="J768" s="1" t="s">
        <v>749</v>
      </c>
      <c r="K768" s="1" t="s">
        <v>1878</v>
      </c>
      <c r="L768" s="1"/>
      <c r="M768" s="1" t="s">
        <v>185</v>
      </c>
      <c r="N768" s="6">
        <f>IFERROR(__xludf.DUMMYFUNCTION("IF(REGEXMATCH(A768, ""^00-""), 0, IF(AND(EQ(F768, """"), EQ(G768, """")), 1, 0))"),1.0)</f>
        <v>1</v>
      </c>
      <c r="O768" s="6">
        <f>IFERROR(__xludf.DUMMYFUNCTION("IF(REGEXMATCH(A768, ""^00-""), 0, IF(AND(NE(F768, """"), EQ(G768, """")), 1, 0))"),0.0)</f>
        <v>0</v>
      </c>
      <c r="P768" s="6">
        <f>IFERROR(__xludf.DUMMYFUNCTION("IF(REGEXMATCH(A768, ""^00-""), 0, IF(AND(EQ(F768, """"), NE(G768, """")), 1, 0))"),0.0)</f>
        <v>0</v>
      </c>
      <c r="Q768" s="6">
        <f>IFERROR(__xludf.DUMMYFUNCTION("IF(REGEXMATCH(A768, ""^00-""), 0, IF(AND(NE(F768, """"), NE(G768, """")), 1, 0))"),0.0)</f>
        <v>0</v>
      </c>
      <c r="R768" s="6">
        <f t="shared" si="1"/>
        <v>1</v>
      </c>
    </row>
    <row r="769">
      <c r="A769" s="1" t="s">
        <v>116</v>
      </c>
      <c r="B769" s="1" t="s">
        <v>2120</v>
      </c>
      <c r="C769" s="1">
        <v>532.0</v>
      </c>
      <c r="D769" s="1">
        <v>0.0</v>
      </c>
      <c r="E769" s="1">
        <v>532.0</v>
      </c>
      <c r="F769" s="1" t="s">
        <v>2121</v>
      </c>
      <c r="G769" s="1" t="s">
        <v>2122</v>
      </c>
      <c r="H769" s="1" t="s">
        <v>190</v>
      </c>
      <c r="I769" s="1" t="s">
        <v>172</v>
      </c>
      <c r="J769" s="1" t="s">
        <v>2123</v>
      </c>
      <c r="K769" s="1" t="s">
        <v>1878</v>
      </c>
      <c r="L769" s="1"/>
      <c r="M769" s="1" t="s">
        <v>191</v>
      </c>
      <c r="N769" s="6">
        <f>IFERROR(__xludf.DUMMYFUNCTION("IF(REGEXMATCH(A769, ""^00-""), 0, IF(AND(EQ(F769, """"), EQ(G769, """")), 1, 0))"),0.0)</f>
        <v>0</v>
      </c>
      <c r="O769" s="6">
        <f>IFERROR(__xludf.DUMMYFUNCTION("IF(REGEXMATCH(A769, ""^00-""), 0, IF(AND(NE(F769, """"), EQ(G769, """")), 1, 0))"),0.0)</f>
        <v>0</v>
      </c>
      <c r="P769" s="6">
        <f>IFERROR(__xludf.DUMMYFUNCTION("IF(REGEXMATCH(A769, ""^00-""), 0, IF(AND(EQ(F769, """"), NE(G769, """")), 1, 0))"),0.0)</f>
        <v>0</v>
      </c>
      <c r="Q769" s="6">
        <f>IFERROR(__xludf.DUMMYFUNCTION("IF(REGEXMATCH(A769, ""^00-""), 0, IF(AND(NE(F769, """"), NE(G769, """")), 1, 0))"),1.0)</f>
        <v>1</v>
      </c>
      <c r="R769" s="6">
        <f t="shared" si="1"/>
        <v>1</v>
      </c>
    </row>
    <row r="770">
      <c r="A770" s="1" t="s">
        <v>116</v>
      </c>
      <c r="B770" s="1" t="s">
        <v>2124</v>
      </c>
      <c r="C770" s="1">
        <v>305.0</v>
      </c>
      <c r="D770" s="1">
        <v>227.0</v>
      </c>
      <c r="E770" s="1">
        <v>532.0</v>
      </c>
      <c r="F770" s="1" t="s">
        <v>2125</v>
      </c>
      <c r="G770" s="1" t="s">
        <v>2126</v>
      </c>
      <c r="H770" s="1" t="s">
        <v>190</v>
      </c>
      <c r="I770" s="1" t="s">
        <v>172</v>
      </c>
      <c r="J770" s="1" t="s">
        <v>2123</v>
      </c>
      <c r="K770" s="1" t="s">
        <v>1878</v>
      </c>
      <c r="L770" s="1"/>
      <c r="M770" s="1" t="s">
        <v>191</v>
      </c>
      <c r="N770" s="6">
        <f>IFERROR(__xludf.DUMMYFUNCTION("IF(REGEXMATCH(A770, ""^00-""), 0, IF(AND(EQ(F770, """"), EQ(G770, """")), 1, 0))"),0.0)</f>
        <v>0</v>
      </c>
      <c r="O770" s="6">
        <f>IFERROR(__xludf.DUMMYFUNCTION("IF(REGEXMATCH(A770, ""^00-""), 0, IF(AND(NE(F770, """"), EQ(G770, """")), 1, 0))"),0.0)</f>
        <v>0</v>
      </c>
      <c r="P770" s="6">
        <f>IFERROR(__xludf.DUMMYFUNCTION("IF(REGEXMATCH(A770, ""^00-""), 0, IF(AND(EQ(F770, """"), NE(G770, """")), 1, 0))"),0.0)</f>
        <v>0</v>
      </c>
      <c r="Q770" s="6">
        <f>IFERROR(__xludf.DUMMYFUNCTION("IF(REGEXMATCH(A770, ""^00-""), 0, IF(AND(NE(F770, """"), NE(G770, """")), 1, 0))"),1.0)</f>
        <v>1</v>
      </c>
      <c r="R770" s="6">
        <f t="shared" si="1"/>
        <v>1</v>
      </c>
    </row>
    <row r="771">
      <c r="A771" s="1" t="s">
        <v>116</v>
      </c>
      <c r="B771" s="1" t="s">
        <v>2127</v>
      </c>
      <c r="C771" s="1">
        <v>177.0</v>
      </c>
      <c r="D771" s="1">
        <v>355.0</v>
      </c>
      <c r="E771" s="1">
        <v>532.0</v>
      </c>
      <c r="F771" s="1"/>
      <c r="G771" s="1" t="s">
        <v>2128</v>
      </c>
      <c r="H771" s="1" t="s">
        <v>190</v>
      </c>
      <c r="I771" s="1" t="s">
        <v>172</v>
      </c>
      <c r="J771" s="1" t="s">
        <v>2123</v>
      </c>
      <c r="K771" s="1" t="s">
        <v>1878</v>
      </c>
      <c r="L771" s="1"/>
      <c r="M771" s="1" t="s">
        <v>191</v>
      </c>
      <c r="N771" s="6">
        <f>IFERROR(__xludf.DUMMYFUNCTION("IF(REGEXMATCH(A771, ""^00-""), 0, IF(AND(EQ(F771, """"), EQ(G771, """")), 1, 0))"),0.0)</f>
        <v>0</v>
      </c>
      <c r="O771" s="6">
        <f>IFERROR(__xludf.DUMMYFUNCTION("IF(REGEXMATCH(A771, ""^00-""), 0, IF(AND(NE(F771, """"), EQ(G771, """")), 1, 0))"),0.0)</f>
        <v>0</v>
      </c>
      <c r="P771" s="6">
        <f>IFERROR(__xludf.DUMMYFUNCTION("IF(REGEXMATCH(A771, ""^00-""), 0, IF(AND(EQ(F771, """"), NE(G771, """")), 1, 0))"),1.0)</f>
        <v>1</v>
      </c>
      <c r="Q771" s="6">
        <f>IFERROR(__xludf.DUMMYFUNCTION("IF(REGEXMATCH(A771, ""^00-""), 0, IF(AND(NE(F771, """"), NE(G771, """")), 1, 0))"),0.0)</f>
        <v>0</v>
      </c>
      <c r="R771" s="6">
        <f t="shared" si="1"/>
        <v>1</v>
      </c>
    </row>
    <row r="772">
      <c r="A772" s="1" t="s">
        <v>116</v>
      </c>
      <c r="B772" s="1" t="s">
        <v>2129</v>
      </c>
      <c r="C772" s="1">
        <v>303.0</v>
      </c>
      <c r="D772" s="1">
        <v>229.0</v>
      </c>
      <c r="E772" s="1">
        <v>532.0</v>
      </c>
      <c r="F772" s="1" t="s">
        <v>2130</v>
      </c>
      <c r="G772" s="1" t="s">
        <v>2131</v>
      </c>
      <c r="H772" s="1" t="s">
        <v>190</v>
      </c>
      <c r="I772" s="1" t="s">
        <v>172</v>
      </c>
      <c r="J772" s="1" t="s">
        <v>2123</v>
      </c>
      <c r="K772" s="1" t="s">
        <v>1878</v>
      </c>
      <c r="L772" s="1"/>
      <c r="M772" s="1" t="s">
        <v>191</v>
      </c>
      <c r="N772" s="6">
        <f>IFERROR(__xludf.DUMMYFUNCTION("IF(REGEXMATCH(A772, ""^00-""), 0, IF(AND(EQ(F772, """"), EQ(G772, """")), 1, 0))"),0.0)</f>
        <v>0</v>
      </c>
      <c r="O772" s="6">
        <f>IFERROR(__xludf.DUMMYFUNCTION("IF(REGEXMATCH(A772, ""^00-""), 0, IF(AND(NE(F772, """"), EQ(G772, """")), 1, 0))"),0.0)</f>
        <v>0</v>
      </c>
      <c r="P772" s="6">
        <f>IFERROR(__xludf.DUMMYFUNCTION("IF(REGEXMATCH(A772, ""^00-""), 0, IF(AND(EQ(F772, """"), NE(G772, """")), 1, 0))"),0.0)</f>
        <v>0</v>
      </c>
      <c r="Q772" s="6">
        <f>IFERROR(__xludf.DUMMYFUNCTION("IF(REGEXMATCH(A772, ""^00-""), 0, IF(AND(NE(F772, """"), NE(G772, """")), 1, 0))"),1.0)</f>
        <v>1</v>
      </c>
      <c r="R772" s="6">
        <f t="shared" si="1"/>
        <v>1</v>
      </c>
    </row>
    <row r="773">
      <c r="A773" s="1" t="s">
        <v>116</v>
      </c>
      <c r="B773" s="1" t="s">
        <v>2132</v>
      </c>
      <c r="C773" s="1">
        <v>296.0</v>
      </c>
      <c r="D773" s="1">
        <v>236.0</v>
      </c>
      <c r="E773" s="1">
        <v>532.0</v>
      </c>
      <c r="F773" s="1" t="s">
        <v>2133</v>
      </c>
      <c r="G773" s="1" t="s">
        <v>2134</v>
      </c>
      <c r="H773" s="1" t="s">
        <v>190</v>
      </c>
      <c r="I773" s="1" t="s">
        <v>172</v>
      </c>
      <c r="J773" s="1" t="s">
        <v>2123</v>
      </c>
      <c r="K773" s="1" t="s">
        <v>1878</v>
      </c>
      <c r="L773" s="1"/>
      <c r="M773" s="1" t="s">
        <v>191</v>
      </c>
      <c r="N773" s="6">
        <f>IFERROR(__xludf.DUMMYFUNCTION("IF(REGEXMATCH(A773, ""^00-""), 0, IF(AND(EQ(F773, """"), EQ(G773, """")), 1, 0))"),0.0)</f>
        <v>0</v>
      </c>
      <c r="O773" s="6">
        <f>IFERROR(__xludf.DUMMYFUNCTION("IF(REGEXMATCH(A773, ""^00-""), 0, IF(AND(NE(F773, """"), EQ(G773, """")), 1, 0))"),0.0)</f>
        <v>0</v>
      </c>
      <c r="P773" s="6">
        <f>IFERROR(__xludf.DUMMYFUNCTION("IF(REGEXMATCH(A773, ""^00-""), 0, IF(AND(EQ(F773, """"), NE(G773, """")), 1, 0))"),0.0)</f>
        <v>0</v>
      </c>
      <c r="Q773" s="6">
        <f>IFERROR(__xludf.DUMMYFUNCTION("IF(REGEXMATCH(A773, ""^00-""), 0, IF(AND(NE(F773, """"), NE(G773, """")), 1, 0))"),1.0)</f>
        <v>1</v>
      </c>
      <c r="R773" s="6">
        <f t="shared" si="1"/>
        <v>1</v>
      </c>
    </row>
    <row r="774">
      <c r="A774" s="1" t="s">
        <v>116</v>
      </c>
      <c r="B774" s="1" t="s">
        <v>2135</v>
      </c>
      <c r="C774" s="1">
        <v>295.0</v>
      </c>
      <c r="D774" s="1">
        <v>237.0</v>
      </c>
      <c r="E774" s="1">
        <v>532.0</v>
      </c>
      <c r="F774" s="1" t="s">
        <v>2136</v>
      </c>
      <c r="G774" s="1" t="s">
        <v>2137</v>
      </c>
      <c r="H774" s="1" t="s">
        <v>190</v>
      </c>
      <c r="I774" s="1" t="s">
        <v>172</v>
      </c>
      <c r="J774" s="1" t="s">
        <v>2123</v>
      </c>
      <c r="K774" s="1" t="s">
        <v>1878</v>
      </c>
      <c r="L774" s="1"/>
      <c r="M774" s="1" t="s">
        <v>191</v>
      </c>
      <c r="N774" s="6">
        <f>IFERROR(__xludf.DUMMYFUNCTION("IF(REGEXMATCH(A774, ""^00-""), 0, IF(AND(EQ(F774, """"), EQ(G774, """")), 1, 0))"),0.0)</f>
        <v>0</v>
      </c>
      <c r="O774" s="6">
        <f>IFERROR(__xludf.DUMMYFUNCTION("IF(REGEXMATCH(A774, ""^00-""), 0, IF(AND(NE(F774, """"), EQ(G774, """")), 1, 0))"),0.0)</f>
        <v>0</v>
      </c>
      <c r="P774" s="6">
        <f>IFERROR(__xludf.DUMMYFUNCTION("IF(REGEXMATCH(A774, ""^00-""), 0, IF(AND(EQ(F774, """"), NE(G774, """")), 1, 0))"),0.0)</f>
        <v>0</v>
      </c>
      <c r="Q774" s="6">
        <f>IFERROR(__xludf.DUMMYFUNCTION("IF(REGEXMATCH(A774, ""^00-""), 0, IF(AND(NE(F774, """"), NE(G774, """")), 1, 0))"),1.0)</f>
        <v>1</v>
      </c>
      <c r="R774" s="6">
        <f t="shared" si="1"/>
        <v>1</v>
      </c>
    </row>
    <row r="775">
      <c r="A775" s="1" t="s">
        <v>116</v>
      </c>
      <c r="B775" s="1" t="s">
        <v>2138</v>
      </c>
      <c r="C775" s="1">
        <v>532.0</v>
      </c>
      <c r="D775" s="1">
        <v>0.0</v>
      </c>
      <c r="E775" s="1">
        <v>532.0</v>
      </c>
      <c r="F775" s="1" t="s">
        <v>2139</v>
      </c>
      <c r="G775" s="1" t="s">
        <v>2140</v>
      </c>
      <c r="H775" s="1" t="s">
        <v>190</v>
      </c>
      <c r="I775" s="1" t="s">
        <v>172</v>
      </c>
      <c r="J775" s="1" t="s">
        <v>2123</v>
      </c>
      <c r="K775" s="1" t="s">
        <v>1878</v>
      </c>
      <c r="L775" s="1"/>
      <c r="M775" s="1" t="s">
        <v>191</v>
      </c>
      <c r="N775" s="6">
        <f>IFERROR(__xludf.DUMMYFUNCTION("IF(REGEXMATCH(A775, ""^00-""), 0, IF(AND(EQ(F775, """"), EQ(G775, """")), 1, 0))"),0.0)</f>
        <v>0</v>
      </c>
      <c r="O775" s="6">
        <f>IFERROR(__xludf.DUMMYFUNCTION("IF(REGEXMATCH(A775, ""^00-""), 0, IF(AND(NE(F775, """"), EQ(G775, """")), 1, 0))"),0.0)</f>
        <v>0</v>
      </c>
      <c r="P775" s="6">
        <f>IFERROR(__xludf.DUMMYFUNCTION("IF(REGEXMATCH(A775, ""^00-""), 0, IF(AND(EQ(F775, """"), NE(G775, """")), 1, 0))"),0.0)</f>
        <v>0</v>
      </c>
      <c r="Q775" s="6">
        <f>IFERROR(__xludf.DUMMYFUNCTION("IF(REGEXMATCH(A775, ""^00-""), 0, IF(AND(NE(F775, """"), NE(G775, """")), 1, 0))"),1.0)</f>
        <v>1</v>
      </c>
      <c r="R775" s="6">
        <f t="shared" si="1"/>
        <v>1</v>
      </c>
    </row>
    <row r="776">
      <c r="A776" s="1" t="s">
        <v>116</v>
      </c>
      <c r="B776" s="1" t="s">
        <v>2141</v>
      </c>
      <c r="C776" s="1">
        <v>402.0</v>
      </c>
      <c r="D776" s="1">
        <v>130.0</v>
      </c>
      <c r="E776" s="1">
        <v>532.0</v>
      </c>
      <c r="F776" s="1" t="s">
        <v>2142</v>
      </c>
      <c r="G776" s="1" t="s">
        <v>2143</v>
      </c>
      <c r="H776" s="1" t="s">
        <v>190</v>
      </c>
      <c r="I776" s="1" t="s">
        <v>172</v>
      </c>
      <c r="J776" s="1" t="s">
        <v>2123</v>
      </c>
      <c r="K776" s="1" t="s">
        <v>1878</v>
      </c>
      <c r="L776" s="1"/>
      <c r="M776" s="1" t="s">
        <v>191</v>
      </c>
      <c r="N776" s="6">
        <f>IFERROR(__xludf.DUMMYFUNCTION("IF(REGEXMATCH(A776, ""^00-""), 0, IF(AND(EQ(F776, """"), EQ(G776, """")), 1, 0))"),0.0)</f>
        <v>0</v>
      </c>
      <c r="O776" s="6">
        <f>IFERROR(__xludf.DUMMYFUNCTION("IF(REGEXMATCH(A776, ""^00-""), 0, IF(AND(NE(F776, """"), EQ(G776, """")), 1, 0))"),0.0)</f>
        <v>0</v>
      </c>
      <c r="P776" s="6">
        <f>IFERROR(__xludf.DUMMYFUNCTION("IF(REGEXMATCH(A776, ""^00-""), 0, IF(AND(EQ(F776, """"), NE(G776, """")), 1, 0))"),0.0)</f>
        <v>0</v>
      </c>
      <c r="Q776" s="6">
        <f>IFERROR(__xludf.DUMMYFUNCTION("IF(REGEXMATCH(A776, ""^00-""), 0, IF(AND(NE(F776, """"), NE(G776, """")), 1, 0))"),1.0)</f>
        <v>1</v>
      </c>
      <c r="R776" s="6">
        <f t="shared" si="1"/>
        <v>1</v>
      </c>
    </row>
    <row r="777">
      <c r="A777" s="1" t="s">
        <v>116</v>
      </c>
      <c r="B777" s="1" t="s">
        <v>2144</v>
      </c>
      <c r="C777" s="1">
        <v>209.0</v>
      </c>
      <c r="D777" s="1">
        <v>323.0</v>
      </c>
      <c r="E777" s="1">
        <v>532.0</v>
      </c>
      <c r="F777" s="1" t="s">
        <v>2145</v>
      </c>
      <c r="G777" s="1" t="s">
        <v>2146</v>
      </c>
      <c r="H777" s="1" t="s">
        <v>250</v>
      </c>
      <c r="I777" s="1" t="s">
        <v>172</v>
      </c>
      <c r="J777" s="1" t="s">
        <v>2123</v>
      </c>
      <c r="K777" s="1" t="s">
        <v>1878</v>
      </c>
      <c r="L777" s="1"/>
      <c r="M777" s="1" t="s">
        <v>250</v>
      </c>
      <c r="N777" s="6">
        <f>IFERROR(__xludf.DUMMYFUNCTION("IF(REGEXMATCH(A777, ""^00-""), 0, IF(AND(EQ(F777, """"), EQ(G777, """")), 1, 0))"),0.0)</f>
        <v>0</v>
      </c>
      <c r="O777" s="6">
        <f>IFERROR(__xludf.DUMMYFUNCTION("IF(REGEXMATCH(A777, ""^00-""), 0, IF(AND(NE(F777, """"), EQ(G777, """")), 1, 0))"),0.0)</f>
        <v>0</v>
      </c>
      <c r="P777" s="6">
        <f>IFERROR(__xludf.DUMMYFUNCTION("IF(REGEXMATCH(A777, ""^00-""), 0, IF(AND(EQ(F777, """"), NE(G777, """")), 1, 0))"),0.0)</f>
        <v>0</v>
      </c>
      <c r="Q777" s="6">
        <f>IFERROR(__xludf.DUMMYFUNCTION("IF(REGEXMATCH(A777, ""^00-""), 0, IF(AND(NE(F777, """"), NE(G777, """")), 1, 0))"),1.0)</f>
        <v>1</v>
      </c>
      <c r="R777" s="6">
        <f t="shared" si="1"/>
        <v>1</v>
      </c>
    </row>
    <row r="778">
      <c r="A778" s="1" t="s">
        <v>116</v>
      </c>
      <c r="B778" s="1" t="s">
        <v>2147</v>
      </c>
      <c r="C778" s="1">
        <v>186.0</v>
      </c>
      <c r="D778" s="1">
        <v>346.0</v>
      </c>
      <c r="E778" s="1">
        <v>532.0</v>
      </c>
      <c r="F778" s="1" t="s">
        <v>2148</v>
      </c>
      <c r="G778" s="1" t="s">
        <v>2149</v>
      </c>
      <c r="H778" s="1" t="s">
        <v>254</v>
      </c>
      <c r="I778" s="1" t="s">
        <v>172</v>
      </c>
      <c r="J778" s="1" t="s">
        <v>2123</v>
      </c>
      <c r="K778" s="1" t="s">
        <v>1878</v>
      </c>
      <c r="L778" s="1"/>
      <c r="M778" s="1" t="s">
        <v>254</v>
      </c>
      <c r="N778" s="6">
        <f>IFERROR(__xludf.DUMMYFUNCTION("IF(REGEXMATCH(A778, ""^00-""), 0, IF(AND(EQ(F778, """"), EQ(G778, """")), 1, 0))"),0.0)</f>
        <v>0</v>
      </c>
      <c r="O778" s="6">
        <f>IFERROR(__xludf.DUMMYFUNCTION("IF(REGEXMATCH(A778, ""^00-""), 0, IF(AND(NE(F778, """"), EQ(G778, """")), 1, 0))"),0.0)</f>
        <v>0</v>
      </c>
      <c r="P778" s="6">
        <f>IFERROR(__xludf.DUMMYFUNCTION("IF(REGEXMATCH(A778, ""^00-""), 0, IF(AND(EQ(F778, """"), NE(G778, """")), 1, 0))"),0.0)</f>
        <v>0</v>
      </c>
      <c r="Q778" s="6">
        <f>IFERROR(__xludf.DUMMYFUNCTION("IF(REGEXMATCH(A778, ""^00-""), 0, IF(AND(NE(F778, """"), NE(G778, """")), 1, 0))"),1.0)</f>
        <v>1</v>
      </c>
      <c r="R778" s="6">
        <f t="shared" si="1"/>
        <v>1</v>
      </c>
    </row>
    <row r="779">
      <c r="A779" s="1" t="s">
        <v>116</v>
      </c>
      <c r="B779" s="1" t="s">
        <v>2150</v>
      </c>
      <c r="C779" s="1">
        <v>452.0</v>
      </c>
      <c r="D779" s="1">
        <v>80.0</v>
      </c>
      <c r="E779" s="1">
        <v>532.0</v>
      </c>
      <c r="F779" s="1" t="s">
        <v>2151</v>
      </c>
      <c r="G779" s="1" t="s">
        <v>2152</v>
      </c>
      <c r="H779" s="1" t="s">
        <v>190</v>
      </c>
      <c r="I779" s="1" t="s">
        <v>172</v>
      </c>
      <c r="J779" s="1" t="s">
        <v>2123</v>
      </c>
      <c r="K779" s="1" t="s">
        <v>1878</v>
      </c>
      <c r="L779" s="1"/>
      <c r="M779" s="1" t="s">
        <v>191</v>
      </c>
      <c r="N779" s="6">
        <f>IFERROR(__xludf.DUMMYFUNCTION("IF(REGEXMATCH(A779, ""^00-""), 0, IF(AND(EQ(F779, """"), EQ(G779, """")), 1, 0))"),0.0)</f>
        <v>0</v>
      </c>
      <c r="O779" s="6">
        <f>IFERROR(__xludf.DUMMYFUNCTION("IF(REGEXMATCH(A779, ""^00-""), 0, IF(AND(NE(F779, """"), EQ(G779, """")), 1, 0))"),0.0)</f>
        <v>0</v>
      </c>
      <c r="P779" s="6">
        <f>IFERROR(__xludf.DUMMYFUNCTION("IF(REGEXMATCH(A779, ""^00-""), 0, IF(AND(EQ(F779, """"), NE(G779, """")), 1, 0))"),0.0)</f>
        <v>0</v>
      </c>
      <c r="Q779" s="6">
        <f>IFERROR(__xludf.DUMMYFUNCTION("IF(REGEXMATCH(A779, ""^00-""), 0, IF(AND(NE(F779, """"), NE(G779, """")), 1, 0))"),1.0)</f>
        <v>1</v>
      </c>
      <c r="R779" s="6">
        <f t="shared" si="1"/>
        <v>1</v>
      </c>
    </row>
    <row r="780">
      <c r="A780" s="1" t="s">
        <v>116</v>
      </c>
      <c r="B780" s="1" t="s">
        <v>2153</v>
      </c>
      <c r="C780" s="1">
        <v>283.0</v>
      </c>
      <c r="D780" s="1">
        <v>249.0</v>
      </c>
      <c r="E780" s="1">
        <v>532.0</v>
      </c>
      <c r="F780" s="1" t="s">
        <v>2154</v>
      </c>
      <c r="G780" s="1" t="s">
        <v>2155</v>
      </c>
      <c r="H780" s="1" t="s">
        <v>250</v>
      </c>
      <c r="I780" s="1" t="s">
        <v>172</v>
      </c>
      <c r="J780" s="1" t="s">
        <v>2123</v>
      </c>
      <c r="K780" s="1" t="s">
        <v>1878</v>
      </c>
      <c r="L780" s="1"/>
      <c r="M780" s="1" t="s">
        <v>250</v>
      </c>
      <c r="N780" s="6">
        <f>IFERROR(__xludf.DUMMYFUNCTION("IF(REGEXMATCH(A780, ""^00-""), 0, IF(AND(EQ(F780, """"), EQ(G780, """")), 1, 0))"),0.0)</f>
        <v>0</v>
      </c>
      <c r="O780" s="6">
        <f>IFERROR(__xludf.DUMMYFUNCTION("IF(REGEXMATCH(A780, ""^00-""), 0, IF(AND(NE(F780, """"), EQ(G780, """")), 1, 0))"),0.0)</f>
        <v>0</v>
      </c>
      <c r="P780" s="6">
        <f>IFERROR(__xludf.DUMMYFUNCTION("IF(REGEXMATCH(A780, ""^00-""), 0, IF(AND(EQ(F780, """"), NE(G780, """")), 1, 0))"),0.0)</f>
        <v>0</v>
      </c>
      <c r="Q780" s="6">
        <f>IFERROR(__xludf.DUMMYFUNCTION("IF(REGEXMATCH(A780, ""^00-""), 0, IF(AND(NE(F780, """"), NE(G780, """")), 1, 0))"),1.0)</f>
        <v>1</v>
      </c>
      <c r="R780" s="6">
        <f t="shared" si="1"/>
        <v>1</v>
      </c>
    </row>
    <row r="781">
      <c r="A781" s="1" t="s">
        <v>116</v>
      </c>
      <c r="B781" s="1" t="s">
        <v>2156</v>
      </c>
      <c r="C781" s="1">
        <v>242.0</v>
      </c>
      <c r="D781" s="1">
        <v>290.0</v>
      </c>
      <c r="E781" s="1">
        <v>532.0</v>
      </c>
      <c r="F781" s="1" t="s">
        <v>2157</v>
      </c>
      <c r="G781" s="1" t="s">
        <v>2158</v>
      </c>
      <c r="H781" s="1" t="s">
        <v>254</v>
      </c>
      <c r="I781" s="1" t="s">
        <v>172</v>
      </c>
      <c r="J781" s="1" t="s">
        <v>2123</v>
      </c>
      <c r="K781" s="1" t="s">
        <v>1878</v>
      </c>
      <c r="L781" s="1"/>
      <c r="M781" s="1" t="s">
        <v>254</v>
      </c>
      <c r="N781" s="6">
        <f>IFERROR(__xludf.DUMMYFUNCTION("IF(REGEXMATCH(A781, ""^00-""), 0, IF(AND(EQ(F781, """"), EQ(G781, """")), 1, 0))"),0.0)</f>
        <v>0</v>
      </c>
      <c r="O781" s="6">
        <f>IFERROR(__xludf.DUMMYFUNCTION("IF(REGEXMATCH(A781, ""^00-""), 0, IF(AND(NE(F781, """"), EQ(G781, """")), 1, 0))"),0.0)</f>
        <v>0</v>
      </c>
      <c r="P781" s="6">
        <f>IFERROR(__xludf.DUMMYFUNCTION("IF(REGEXMATCH(A781, ""^00-""), 0, IF(AND(EQ(F781, """"), NE(G781, """")), 1, 0))"),0.0)</f>
        <v>0</v>
      </c>
      <c r="Q781" s="6">
        <f>IFERROR(__xludf.DUMMYFUNCTION("IF(REGEXMATCH(A781, ""^00-""), 0, IF(AND(NE(F781, """"), NE(G781, """")), 1, 0))"),1.0)</f>
        <v>1</v>
      </c>
      <c r="R781" s="6">
        <f t="shared" si="1"/>
        <v>1</v>
      </c>
    </row>
    <row r="782">
      <c r="A782" s="1" t="s">
        <v>116</v>
      </c>
      <c r="B782" s="1" t="s">
        <v>2159</v>
      </c>
      <c r="C782" s="1">
        <v>532.0</v>
      </c>
      <c r="D782" s="1">
        <v>0.0</v>
      </c>
      <c r="E782" s="1">
        <v>532.0</v>
      </c>
      <c r="F782" s="1" t="s">
        <v>2160</v>
      </c>
      <c r="G782" s="1" t="s">
        <v>2161</v>
      </c>
      <c r="H782" s="1" t="s">
        <v>190</v>
      </c>
      <c r="I782" s="1" t="s">
        <v>172</v>
      </c>
      <c r="J782" s="1" t="s">
        <v>2123</v>
      </c>
      <c r="K782" s="1" t="s">
        <v>1878</v>
      </c>
      <c r="L782" s="1"/>
      <c r="M782" s="1" t="s">
        <v>191</v>
      </c>
      <c r="N782" s="6">
        <f>IFERROR(__xludf.DUMMYFUNCTION("IF(REGEXMATCH(A782, ""^00-""), 0, IF(AND(EQ(F782, """"), EQ(G782, """")), 1, 0))"),0.0)</f>
        <v>0</v>
      </c>
      <c r="O782" s="6">
        <f>IFERROR(__xludf.DUMMYFUNCTION("IF(REGEXMATCH(A782, ""^00-""), 0, IF(AND(NE(F782, """"), EQ(G782, """")), 1, 0))"),0.0)</f>
        <v>0</v>
      </c>
      <c r="P782" s="6">
        <f>IFERROR(__xludf.DUMMYFUNCTION("IF(REGEXMATCH(A782, ""^00-""), 0, IF(AND(EQ(F782, """"), NE(G782, """")), 1, 0))"),0.0)</f>
        <v>0</v>
      </c>
      <c r="Q782" s="6">
        <f>IFERROR(__xludf.DUMMYFUNCTION("IF(REGEXMATCH(A782, ""^00-""), 0, IF(AND(NE(F782, """"), NE(G782, """")), 1, 0))"),1.0)</f>
        <v>1</v>
      </c>
      <c r="R782" s="6">
        <f t="shared" si="1"/>
        <v>1</v>
      </c>
    </row>
    <row r="783">
      <c r="A783" s="1" t="s">
        <v>116</v>
      </c>
      <c r="B783" s="1" t="s">
        <v>2162</v>
      </c>
      <c r="C783" s="1">
        <v>502.0</v>
      </c>
      <c r="D783" s="1">
        <v>30.0</v>
      </c>
      <c r="E783" s="1">
        <v>532.0</v>
      </c>
      <c r="F783" s="1" t="s">
        <v>2163</v>
      </c>
      <c r="G783" s="1" t="s">
        <v>2163</v>
      </c>
      <c r="H783" s="1" t="s">
        <v>190</v>
      </c>
      <c r="I783" s="1" t="s">
        <v>172</v>
      </c>
      <c r="J783" s="1" t="s">
        <v>2123</v>
      </c>
      <c r="K783" s="1" t="s">
        <v>1878</v>
      </c>
      <c r="L783" s="1"/>
      <c r="M783" s="1" t="s">
        <v>191</v>
      </c>
      <c r="N783" s="6">
        <f>IFERROR(__xludf.DUMMYFUNCTION("IF(REGEXMATCH(A783, ""^00-""), 0, IF(AND(EQ(F783, """"), EQ(G783, """")), 1, 0))"),0.0)</f>
        <v>0</v>
      </c>
      <c r="O783" s="6">
        <f>IFERROR(__xludf.DUMMYFUNCTION("IF(REGEXMATCH(A783, ""^00-""), 0, IF(AND(NE(F783, """"), EQ(G783, """")), 1, 0))"),0.0)</f>
        <v>0</v>
      </c>
      <c r="P783" s="6">
        <f>IFERROR(__xludf.DUMMYFUNCTION("IF(REGEXMATCH(A783, ""^00-""), 0, IF(AND(EQ(F783, """"), NE(G783, """")), 1, 0))"),0.0)</f>
        <v>0</v>
      </c>
      <c r="Q783" s="6">
        <f>IFERROR(__xludf.DUMMYFUNCTION("IF(REGEXMATCH(A783, ""^00-""), 0, IF(AND(NE(F783, """"), NE(G783, """")), 1, 0))"),1.0)</f>
        <v>1</v>
      </c>
      <c r="R783" s="6">
        <f t="shared" si="1"/>
        <v>1</v>
      </c>
    </row>
    <row r="784">
      <c r="A784" s="1" t="s">
        <v>118</v>
      </c>
      <c r="B784" s="1" t="s">
        <v>2164</v>
      </c>
      <c r="C784" s="1">
        <v>532.0</v>
      </c>
      <c r="D784" s="1">
        <v>0.0</v>
      </c>
      <c r="E784" s="1">
        <v>532.0</v>
      </c>
      <c r="F784" s="1" t="s">
        <v>2165</v>
      </c>
      <c r="G784" s="1" t="s">
        <v>2166</v>
      </c>
      <c r="H784" s="1" t="s">
        <v>190</v>
      </c>
      <c r="I784" s="1" t="s">
        <v>172</v>
      </c>
      <c r="J784" s="1" t="s">
        <v>2167</v>
      </c>
      <c r="K784" s="1" t="s">
        <v>1878</v>
      </c>
      <c r="L784" s="1"/>
      <c r="M784" s="1" t="s">
        <v>191</v>
      </c>
      <c r="N784" s="6">
        <f>IFERROR(__xludf.DUMMYFUNCTION("IF(REGEXMATCH(A784, ""^00-""), 0, IF(AND(EQ(F784, """"), EQ(G784, """")), 1, 0))"),0.0)</f>
        <v>0</v>
      </c>
      <c r="O784" s="6">
        <f>IFERROR(__xludf.DUMMYFUNCTION("IF(REGEXMATCH(A784, ""^00-""), 0, IF(AND(NE(F784, """"), EQ(G784, """")), 1, 0))"),0.0)</f>
        <v>0</v>
      </c>
      <c r="P784" s="6">
        <f>IFERROR(__xludf.DUMMYFUNCTION("IF(REGEXMATCH(A784, ""^00-""), 0, IF(AND(EQ(F784, """"), NE(G784, """")), 1, 0))"),0.0)</f>
        <v>0</v>
      </c>
      <c r="Q784" s="6">
        <f>IFERROR(__xludf.DUMMYFUNCTION("IF(REGEXMATCH(A784, ""^00-""), 0, IF(AND(NE(F784, """"), NE(G784, """")), 1, 0))"),1.0)</f>
        <v>1</v>
      </c>
      <c r="R784" s="6">
        <f t="shared" si="1"/>
        <v>1</v>
      </c>
    </row>
    <row r="785">
      <c r="A785" s="1" t="s">
        <v>118</v>
      </c>
      <c r="B785" s="1" t="s">
        <v>2168</v>
      </c>
      <c r="C785" s="1">
        <v>14.0</v>
      </c>
      <c r="D785" s="1">
        <v>518.0</v>
      </c>
      <c r="E785" s="1">
        <v>532.0</v>
      </c>
      <c r="F785" s="1" t="s">
        <v>2169</v>
      </c>
      <c r="G785" s="1" t="s">
        <v>2170</v>
      </c>
      <c r="H785" s="1" t="s">
        <v>235</v>
      </c>
      <c r="I785" s="1" t="s">
        <v>172</v>
      </c>
      <c r="J785" s="1" t="s">
        <v>2167</v>
      </c>
      <c r="K785" s="1" t="s">
        <v>1878</v>
      </c>
      <c r="L785" s="1"/>
      <c r="M785" s="1" t="s">
        <v>2171</v>
      </c>
      <c r="N785" s="6">
        <f>IFERROR(__xludf.DUMMYFUNCTION("IF(REGEXMATCH(A785, ""^00-""), 0, IF(AND(EQ(F785, """"), EQ(G785, """")), 1, 0))"),0.0)</f>
        <v>0</v>
      </c>
      <c r="O785" s="6">
        <f>IFERROR(__xludf.DUMMYFUNCTION("IF(REGEXMATCH(A785, ""^00-""), 0, IF(AND(NE(F785, """"), EQ(G785, """")), 1, 0))"),0.0)</f>
        <v>0</v>
      </c>
      <c r="P785" s="6">
        <f>IFERROR(__xludf.DUMMYFUNCTION("IF(REGEXMATCH(A785, ""^00-""), 0, IF(AND(EQ(F785, """"), NE(G785, """")), 1, 0))"),0.0)</f>
        <v>0</v>
      </c>
      <c r="Q785" s="6">
        <f>IFERROR(__xludf.DUMMYFUNCTION("IF(REGEXMATCH(A785, ""^00-""), 0, IF(AND(NE(F785, """"), NE(G785, """")), 1, 0))"),1.0)</f>
        <v>1</v>
      </c>
      <c r="R785" s="6">
        <f t="shared" si="1"/>
        <v>1</v>
      </c>
    </row>
    <row r="786">
      <c r="A786" s="1" t="s">
        <v>120</v>
      </c>
      <c r="B786" s="1" t="s">
        <v>2172</v>
      </c>
      <c r="C786" s="1">
        <v>313.0</v>
      </c>
      <c r="D786" s="1">
        <v>219.0</v>
      </c>
      <c r="E786" s="1">
        <v>532.0</v>
      </c>
      <c r="F786" s="1"/>
      <c r="G786" s="1" t="s">
        <v>2173</v>
      </c>
      <c r="H786" s="1" t="s">
        <v>190</v>
      </c>
      <c r="I786" s="1" t="s">
        <v>172</v>
      </c>
      <c r="J786" s="1" t="s">
        <v>2174</v>
      </c>
      <c r="K786" s="1" t="s">
        <v>1878</v>
      </c>
      <c r="L786" s="1"/>
      <c r="M786" s="1" t="s">
        <v>191</v>
      </c>
      <c r="N786" s="6">
        <f>IFERROR(__xludf.DUMMYFUNCTION("IF(REGEXMATCH(A786, ""^00-""), 0, IF(AND(EQ(F786, """"), EQ(G786, """")), 1, 0))"),0.0)</f>
        <v>0</v>
      </c>
      <c r="O786" s="6">
        <f>IFERROR(__xludf.DUMMYFUNCTION("IF(REGEXMATCH(A786, ""^00-""), 0, IF(AND(NE(F786, """"), EQ(G786, """")), 1, 0))"),0.0)</f>
        <v>0</v>
      </c>
      <c r="P786" s="6">
        <f>IFERROR(__xludf.DUMMYFUNCTION("IF(REGEXMATCH(A786, ""^00-""), 0, IF(AND(EQ(F786, """"), NE(G786, """")), 1, 0))"),1.0)</f>
        <v>1</v>
      </c>
      <c r="Q786" s="6">
        <f>IFERROR(__xludf.DUMMYFUNCTION("IF(REGEXMATCH(A786, ""^00-""), 0, IF(AND(NE(F786, """"), NE(G786, """")), 1, 0))"),0.0)</f>
        <v>0</v>
      </c>
      <c r="R786" s="6">
        <f t="shared" si="1"/>
        <v>1</v>
      </c>
    </row>
    <row r="787">
      <c r="A787" s="1" t="s">
        <v>120</v>
      </c>
      <c r="B787" s="1" t="s">
        <v>2175</v>
      </c>
      <c r="C787" s="1">
        <v>258.0</v>
      </c>
      <c r="D787" s="1">
        <v>274.0</v>
      </c>
      <c r="E787" s="1">
        <v>532.0</v>
      </c>
      <c r="F787" s="1" t="s">
        <v>2176</v>
      </c>
      <c r="G787" s="1" t="s">
        <v>2177</v>
      </c>
      <c r="H787" s="1" t="s">
        <v>190</v>
      </c>
      <c r="I787" s="1" t="s">
        <v>172</v>
      </c>
      <c r="J787" s="1" t="s">
        <v>2174</v>
      </c>
      <c r="K787" s="1" t="s">
        <v>1878</v>
      </c>
      <c r="L787" s="1"/>
      <c r="M787" s="1" t="s">
        <v>191</v>
      </c>
      <c r="N787" s="6">
        <f>IFERROR(__xludf.DUMMYFUNCTION("IF(REGEXMATCH(A787, ""^00-""), 0, IF(AND(EQ(F787, """"), EQ(G787, """")), 1, 0))"),0.0)</f>
        <v>0</v>
      </c>
      <c r="O787" s="6">
        <f>IFERROR(__xludf.DUMMYFUNCTION("IF(REGEXMATCH(A787, ""^00-""), 0, IF(AND(NE(F787, """"), EQ(G787, """")), 1, 0))"),0.0)</f>
        <v>0</v>
      </c>
      <c r="P787" s="6">
        <f>IFERROR(__xludf.DUMMYFUNCTION("IF(REGEXMATCH(A787, ""^00-""), 0, IF(AND(EQ(F787, """"), NE(G787, """")), 1, 0))"),0.0)</f>
        <v>0</v>
      </c>
      <c r="Q787" s="6">
        <f>IFERROR(__xludf.DUMMYFUNCTION("IF(REGEXMATCH(A787, ""^00-""), 0, IF(AND(NE(F787, """"), NE(G787, """")), 1, 0))"),1.0)</f>
        <v>1</v>
      </c>
      <c r="R787" s="6">
        <f t="shared" si="1"/>
        <v>1</v>
      </c>
    </row>
    <row r="788">
      <c r="A788" s="1" t="s">
        <v>120</v>
      </c>
      <c r="B788" s="1" t="s">
        <v>2178</v>
      </c>
      <c r="C788" s="1">
        <v>258.0</v>
      </c>
      <c r="D788" s="1">
        <v>274.0</v>
      </c>
      <c r="E788" s="1">
        <v>532.0</v>
      </c>
      <c r="F788" s="1" t="s">
        <v>2179</v>
      </c>
      <c r="G788" s="1" t="s">
        <v>2180</v>
      </c>
      <c r="H788" s="1" t="s">
        <v>190</v>
      </c>
      <c r="I788" s="1" t="s">
        <v>172</v>
      </c>
      <c r="J788" s="1" t="s">
        <v>2174</v>
      </c>
      <c r="K788" s="1" t="s">
        <v>1878</v>
      </c>
      <c r="L788" s="1"/>
      <c r="M788" s="1" t="s">
        <v>191</v>
      </c>
      <c r="N788" s="6">
        <f>IFERROR(__xludf.DUMMYFUNCTION("IF(REGEXMATCH(A788, ""^00-""), 0, IF(AND(EQ(F788, """"), EQ(G788, """")), 1, 0))"),0.0)</f>
        <v>0</v>
      </c>
      <c r="O788" s="6">
        <f>IFERROR(__xludf.DUMMYFUNCTION("IF(REGEXMATCH(A788, ""^00-""), 0, IF(AND(NE(F788, """"), EQ(G788, """")), 1, 0))"),0.0)</f>
        <v>0</v>
      </c>
      <c r="P788" s="6">
        <f>IFERROR(__xludf.DUMMYFUNCTION("IF(REGEXMATCH(A788, ""^00-""), 0, IF(AND(EQ(F788, """"), NE(G788, """")), 1, 0))"),0.0)</f>
        <v>0</v>
      </c>
      <c r="Q788" s="6">
        <f>IFERROR(__xludf.DUMMYFUNCTION("IF(REGEXMATCH(A788, ""^00-""), 0, IF(AND(NE(F788, """"), NE(G788, """")), 1, 0))"),1.0)</f>
        <v>1</v>
      </c>
      <c r="R788" s="6">
        <f t="shared" si="1"/>
        <v>1</v>
      </c>
    </row>
    <row r="789">
      <c r="A789" s="1" t="s">
        <v>120</v>
      </c>
      <c r="B789" s="1" t="s">
        <v>2181</v>
      </c>
      <c r="C789" s="1">
        <v>257.0</v>
      </c>
      <c r="D789" s="1">
        <v>275.0</v>
      </c>
      <c r="E789" s="1">
        <v>532.0</v>
      </c>
      <c r="F789" s="1" t="s">
        <v>2182</v>
      </c>
      <c r="G789" s="1" t="s">
        <v>2183</v>
      </c>
      <c r="H789" s="1" t="s">
        <v>190</v>
      </c>
      <c r="I789" s="1" t="s">
        <v>172</v>
      </c>
      <c r="J789" s="1" t="s">
        <v>2174</v>
      </c>
      <c r="K789" s="1" t="s">
        <v>1878</v>
      </c>
      <c r="L789" s="1"/>
      <c r="M789" s="1" t="s">
        <v>191</v>
      </c>
      <c r="N789" s="6">
        <f>IFERROR(__xludf.DUMMYFUNCTION("IF(REGEXMATCH(A789, ""^00-""), 0, IF(AND(EQ(F789, """"), EQ(G789, """")), 1, 0))"),0.0)</f>
        <v>0</v>
      </c>
      <c r="O789" s="6">
        <f>IFERROR(__xludf.DUMMYFUNCTION("IF(REGEXMATCH(A789, ""^00-""), 0, IF(AND(NE(F789, """"), EQ(G789, """")), 1, 0))"),0.0)</f>
        <v>0</v>
      </c>
      <c r="P789" s="6">
        <f>IFERROR(__xludf.DUMMYFUNCTION("IF(REGEXMATCH(A789, ""^00-""), 0, IF(AND(EQ(F789, """"), NE(G789, """")), 1, 0))"),0.0)</f>
        <v>0</v>
      </c>
      <c r="Q789" s="6">
        <f>IFERROR(__xludf.DUMMYFUNCTION("IF(REGEXMATCH(A789, ""^00-""), 0, IF(AND(NE(F789, """"), NE(G789, """")), 1, 0))"),1.0)</f>
        <v>1</v>
      </c>
      <c r="R789" s="6">
        <f t="shared" si="1"/>
        <v>1</v>
      </c>
    </row>
    <row r="790">
      <c r="A790" s="1" t="s">
        <v>120</v>
      </c>
      <c r="B790" s="1" t="s">
        <v>2184</v>
      </c>
      <c r="C790" s="1">
        <v>257.0</v>
      </c>
      <c r="D790" s="1">
        <v>275.0</v>
      </c>
      <c r="E790" s="1">
        <v>532.0</v>
      </c>
      <c r="F790" s="1" t="s">
        <v>2185</v>
      </c>
      <c r="G790" s="1" t="s">
        <v>2186</v>
      </c>
      <c r="H790" s="1" t="s">
        <v>190</v>
      </c>
      <c r="I790" s="1" t="s">
        <v>172</v>
      </c>
      <c r="J790" s="1" t="s">
        <v>2174</v>
      </c>
      <c r="K790" s="1" t="s">
        <v>1878</v>
      </c>
      <c r="L790" s="1"/>
      <c r="M790" s="1" t="s">
        <v>191</v>
      </c>
      <c r="N790" s="6">
        <f>IFERROR(__xludf.DUMMYFUNCTION("IF(REGEXMATCH(A790, ""^00-""), 0, IF(AND(EQ(F790, """"), EQ(G790, """")), 1, 0))"),0.0)</f>
        <v>0</v>
      </c>
      <c r="O790" s="6">
        <f>IFERROR(__xludf.DUMMYFUNCTION("IF(REGEXMATCH(A790, ""^00-""), 0, IF(AND(NE(F790, """"), EQ(G790, """")), 1, 0))"),0.0)</f>
        <v>0</v>
      </c>
      <c r="P790" s="6">
        <f>IFERROR(__xludf.DUMMYFUNCTION("IF(REGEXMATCH(A790, ""^00-""), 0, IF(AND(EQ(F790, """"), NE(G790, """")), 1, 0))"),0.0)</f>
        <v>0</v>
      </c>
      <c r="Q790" s="6">
        <f>IFERROR(__xludf.DUMMYFUNCTION("IF(REGEXMATCH(A790, ""^00-""), 0, IF(AND(NE(F790, """"), NE(G790, """")), 1, 0))"),1.0)</f>
        <v>1</v>
      </c>
      <c r="R790" s="6">
        <f t="shared" si="1"/>
        <v>1</v>
      </c>
    </row>
    <row r="791">
      <c r="A791" s="1" t="s">
        <v>120</v>
      </c>
      <c r="B791" s="1" t="s">
        <v>2187</v>
      </c>
      <c r="C791" s="1">
        <v>258.0</v>
      </c>
      <c r="D791" s="1">
        <v>274.0</v>
      </c>
      <c r="E791" s="1">
        <v>532.0</v>
      </c>
      <c r="F791" s="1" t="s">
        <v>2188</v>
      </c>
      <c r="G791" s="1" t="s">
        <v>2189</v>
      </c>
      <c r="H791" s="1" t="s">
        <v>190</v>
      </c>
      <c r="I791" s="1" t="s">
        <v>172</v>
      </c>
      <c r="J791" s="1" t="s">
        <v>2174</v>
      </c>
      <c r="K791" s="1" t="s">
        <v>1878</v>
      </c>
      <c r="L791" s="1"/>
      <c r="M791" s="1" t="s">
        <v>191</v>
      </c>
      <c r="N791" s="6">
        <f>IFERROR(__xludf.DUMMYFUNCTION("IF(REGEXMATCH(A791, ""^00-""), 0, IF(AND(EQ(F791, """"), EQ(G791, """")), 1, 0))"),0.0)</f>
        <v>0</v>
      </c>
      <c r="O791" s="6">
        <f>IFERROR(__xludf.DUMMYFUNCTION("IF(REGEXMATCH(A791, ""^00-""), 0, IF(AND(NE(F791, """"), EQ(G791, """")), 1, 0))"),0.0)</f>
        <v>0</v>
      </c>
      <c r="P791" s="6">
        <f>IFERROR(__xludf.DUMMYFUNCTION("IF(REGEXMATCH(A791, ""^00-""), 0, IF(AND(EQ(F791, """"), NE(G791, """")), 1, 0))"),0.0)</f>
        <v>0</v>
      </c>
      <c r="Q791" s="6">
        <f>IFERROR(__xludf.DUMMYFUNCTION("IF(REGEXMATCH(A791, ""^00-""), 0, IF(AND(NE(F791, """"), NE(G791, """")), 1, 0))"),1.0)</f>
        <v>1</v>
      </c>
      <c r="R791" s="6">
        <f t="shared" si="1"/>
        <v>1</v>
      </c>
    </row>
    <row r="792">
      <c r="A792" s="1" t="s">
        <v>120</v>
      </c>
      <c r="B792" s="1" t="s">
        <v>2190</v>
      </c>
      <c r="C792" s="1">
        <v>258.0</v>
      </c>
      <c r="D792" s="1">
        <v>274.0</v>
      </c>
      <c r="E792" s="1">
        <v>532.0</v>
      </c>
      <c r="F792" s="1" t="s">
        <v>2191</v>
      </c>
      <c r="G792" s="1" t="s">
        <v>2192</v>
      </c>
      <c r="H792" s="1" t="s">
        <v>190</v>
      </c>
      <c r="I792" s="1" t="s">
        <v>172</v>
      </c>
      <c r="J792" s="1" t="s">
        <v>2174</v>
      </c>
      <c r="K792" s="1" t="s">
        <v>1878</v>
      </c>
      <c r="L792" s="1"/>
      <c r="M792" s="1" t="s">
        <v>191</v>
      </c>
      <c r="N792" s="6">
        <f>IFERROR(__xludf.DUMMYFUNCTION("IF(REGEXMATCH(A792, ""^00-""), 0, IF(AND(EQ(F792, """"), EQ(G792, """")), 1, 0))"),0.0)</f>
        <v>0</v>
      </c>
      <c r="O792" s="6">
        <f>IFERROR(__xludf.DUMMYFUNCTION("IF(REGEXMATCH(A792, ""^00-""), 0, IF(AND(NE(F792, """"), EQ(G792, """")), 1, 0))"),0.0)</f>
        <v>0</v>
      </c>
      <c r="P792" s="6">
        <f>IFERROR(__xludf.DUMMYFUNCTION("IF(REGEXMATCH(A792, ""^00-""), 0, IF(AND(EQ(F792, """"), NE(G792, """")), 1, 0))"),0.0)</f>
        <v>0</v>
      </c>
      <c r="Q792" s="6">
        <f>IFERROR(__xludf.DUMMYFUNCTION("IF(REGEXMATCH(A792, ""^00-""), 0, IF(AND(NE(F792, """"), NE(G792, """")), 1, 0))"),1.0)</f>
        <v>1</v>
      </c>
      <c r="R792" s="6">
        <f t="shared" si="1"/>
        <v>1</v>
      </c>
    </row>
    <row r="793">
      <c r="A793" s="1" t="s">
        <v>120</v>
      </c>
      <c r="B793" s="1" t="s">
        <v>2193</v>
      </c>
      <c r="C793" s="1">
        <v>258.0</v>
      </c>
      <c r="D793" s="1">
        <v>274.0</v>
      </c>
      <c r="E793" s="1">
        <v>532.0</v>
      </c>
      <c r="F793" s="1" t="s">
        <v>2194</v>
      </c>
      <c r="G793" s="1" t="s">
        <v>2195</v>
      </c>
      <c r="H793" s="1" t="s">
        <v>190</v>
      </c>
      <c r="I793" s="1" t="s">
        <v>172</v>
      </c>
      <c r="J793" s="1" t="s">
        <v>2174</v>
      </c>
      <c r="K793" s="1" t="s">
        <v>1878</v>
      </c>
      <c r="L793" s="1"/>
      <c r="M793" s="1" t="s">
        <v>191</v>
      </c>
      <c r="N793" s="6">
        <f>IFERROR(__xludf.DUMMYFUNCTION("IF(REGEXMATCH(A793, ""^00-""), 0, IF(AND(EQ(F793, """"), EQ(G793, """")), 1, 0))"),0.0)</f>
        <v>0</v>
      </c>
      <c r="O793" s="6">
        <f>IFERROR(__xludf.DUMMYFUNCTION("IF(REGEXMATCH(A793, ""^00-""), 0, IF(AND(NE(F793, """"), EQ(G793, """")), 1, 0))"),0.0)</f>
        <v>0</v>
      </c>
      <c r="P793" s="6">
        <f>IFERROR(__xludf.DUMMYFUNCTION("IF(REGEXMATCH(A793, ""^00-""), 0, IF(AND(EQ(F793, """"), NE(G793, """")), 1, 0))"),0.0)</f>
        <v>0</v>
      </c>
      <c r="Q793" s="6">
        <f>IFERROR(__xludf.DUMMYFUNCTION("IF(REGEXMATCH(A793, ""^00-""), 0, IF(AND(NE(F793, """"), NE(G793, """")), 1, 0))"),1.0)</f>
        <v>1</v>
      </c>
      <c r="R793" s="6">
        <f t="shared" si="1"/>
        <v>1</v>
      </c>
    </row>
    <row r="794">
      <c r="A794" s="1" t="s">
        <v>120</v>
      </c>
      <c r="B794" s="1" t="s">
        <v>2196</v>
      </c>
      <c r="C794" s="1">
        <v>47.0</v>
      </c>
      <c r="D794" s="1">
        <v>485.0</v>
      </c>
      <c r="E794" s="1">
        <v>532.0</v>
      </c>
      <c r="F794" s="1" t="s">
        <v>2197</v>
      </c>
      <c r="G794" s="1" t="s">
        <v>2198</v>
      </c>
      <c r="H794" s="1" t="s">
        <v>171</v>
      </c>
      <c r="I794" s="1" t="s">
        <v>172</v>
      </c>
      <c r="J794" s="1" t="s">
        <v>2174</v>
      </c>
      <c r="K794" s="1" t="s">
        <v>1878</v>
      </c>
      <c r="L794" s="1"/>
      <c r="M794" s="1" t="s">
        <v>171</v>
      </c>
      <c r="N794" s="6">
        <f>IFERROR(__xludf.DUMMYFUNCTION("IF(REGEXMATCH(A794, ""^00-""), 0, IF(AND(EQ(F794, """"), EQ(G794, """")), 1, 0))"),0.0)</f>
        <v>0</v>
      </c>
      <c r="O794" s="6">
        <f>IFERROR(__xludf.DUMMYFUNCTION("IF(REGEXMATCH(A794, ""^00-""), 0, IF(AND(NE(F794, """"), EQ(G794, """")), 1, 0))"),0.0)</f>
        <v>0</v>
      </c>
      <c r="P794" s="6">
        <f>IFERROR(__xludf.DUMMYFUNCTION("IF(REGEXMATCH(A794, ""^00-""), 0, IF(AND(EQ(F794, """"), NE(G794, """")), 1, 0))"),0.0)</f>
        <v>0</v>
      </c>
      <c r="Q794" s="6">
        <f>IFERROR(__xludf.DUMMYFUNCTION("IF(REGEXMATCH(A794, ""^00-""), 0, IF(AND(NE(F794, """"), NE(G794, """")), 1, 0))"),1.0)</f>
        <v>1</v>
      </c>
      <c r="R794" s="6">
        <f t="shared" si="1"/>
        <v>1</v>
      </c>
    </row>
    <row r="795">
      <c r="A795" s="1" t="s">
        <v>122</v>
      </c>
      <c r="B795" s="1" t="s">
        <v>2199</v>
      </c>
      <c r="C795" s="1">
        <v>78.0</v>
      </c>
      <c r="D795" s="1">
        <v>454.0</v>
      </c>
      <c r="E795" s="1">
        <v>532.0</v>
      </c>
      <c r="F795" s="1" t="s">
        <v>2200</v>
      </c>
      <c r="G795" s="1" t="s">
        <v>2201</v>
      </c>
      <c r="H795" s="1" t="s">
        <v>190</v>
      </c>
      <c r="I795" s="1" t="s">
        <v>172</v>
      </c>
      <c r="J795" s="1" t="s">
        <v>2202</v>
      </c>
      <c r="K795" s="1" t="s">
        <v>1878</v>
      </c>
      <c r="L795" s="1"/>
      <c r="M795" s="1" t="s">
        <v>191</v>
      </c>
      <c r="N795" s="6">
        <f>IFERROR(__xludf.DUMMYFUNCTION("IF(REGEXMATCH(A795, ""^00-""), 0, IF(AND(EQ(F795, """"), EQ(G795, """")), 1, 0))"),0.0)</f>
        <v>0</v>
      </c>
      <c r="O795" s="6">
        <f>IFERROR(__xludf.DUMMYFUNCTION("IF(REGEXMATCH(A795, ""^00-""), 0, IF(AND(NE(F795, """"), EQ(G795, """")), 1, 0))"),0.0)</f>
        <v>0</v>
      </c>
      <c r="P795" s="6">
        <f>IFERROR(__xludf.DUMMYFUNCTION("IF(REGEXMATCH(A795, ""^00-""), 0, IF(AND(EQ(F795, """"), NE(G795, """")), 1, 0))"),0.0)</f>
        <v>0</v>
      </c>
      <c r="Q795" s="6">
        <f>IFERROR(__xludf.DUMMYFUNCTION("IF(REGEXMATCH(A795, ""^00-""), 0, IF(AND(NE(F795, """"), NE(G795, """")), 1, 0))"),1.0)</f>
        <v>1</v>
      </c>
      <c r="R795" s="6">
        <f t="shared" si="1"/>
        <v>1</v>
      </c>
    </row>
    <row r="796">
      <c r="A796" s="1" t="s">
        <v>122</v>
      </c>
      <c r="B796" s="1" t="s">
        <v>2203</v>
      </c>
      <c r="C796" s="1">
        <v>62.0</v>
      </c>
      <c r="D796" s="1">
        <v>470.0</v>
      </c>
      <c r="E796" s="1">
        <v>532.0</v>
      </c>
      <c r="F796" s="1" t="s">
        <v>2204</v>
      </c>
      <c r="G796" s="1" t="s">
        <v>2205</v>
      </c>
      <c r="H796" s="1" t="s">
        <v>250</v>
      </c>
      <c r="I796" s="1" t="s">
        <v>172</v>
      </c>
      <c r="J796" s="1" t="s">
        <v>2202</v>
      </c>
      <c r="K796" s="1" t="s">
        <v>1878</v>
      </c>
      <c r="L796" s="1"/>
      <c r="M796" s="1" t="s">
        <v>250</v>
      </c>
      <c r="N796" s="6">
        <f>IFERROR(__xludf.DUMMYFUNCTION("IF(REGEXMATCH(A796, ""^00-""), 0, IF(AND(EQ(F796, """"), EQ(G796, """")), 1, 0))"),0.0)</f>
        <v>0</v>
      </c>
      <c r="O796" s="6">
        <f>IFERROR(__xludf.DUMMYFUNCTION("IF(REGEXMATCH(A796, ""^00-""), 0, IF(AND(NE(F796, """"), EQ(G796, """")), 1, 0))"),0.0)</f>
        <v>0</v>
      </c>
      <c r="P796" s="6">
        <f>IFERROR(__xludf.DUMMYFUNCTION("IF(REGEXMATCH(A796, ""^00-""), 0, IF(AND(EQ(F796, """"), NE(G796, """")), 1, 0))"),0.0)</f>
        <v>0</v>
      </c>
      <c r="Q796" s="6">
        <f>IFERROR(__xludf.DUMMYFUNCTION("IF(REGEXMATCH(A796, ""^00-""), 0, IF(AND(NE(F796, """"), NE(G796, """")), 1, 0))"),1.0)</f>
        <v>1</v>
      </c>
      <c r="R796" s="6">
        <f t="shared" si="1"/>
        <v>1</v>
      </c>
    </row>
    <row r="797">
      <c r="A797" s="1" t="s">
        <v>122</v>
      </c>
      <c r="B797" s="1" t="s">
        <v>2206</v>
      </c>
      <c r="C797" s="1">
        <v>61.0</v>
      </c>
      <c r="D797" s="1">
        <v>471.0</v>
      </c>
      <c r="E797" s="1">
        <v>532.0</v>
      </c>
      <c r="F797" s="1" t="s">
        <v>2207</v>
      </c>
      <c r="G797" s="1" t="s">
        <v>2208</v>
      </c>
      <c r="H797" s="1" t="s">
        <v>254</v>
      </c>
      <c r="I797" s="1" t="s">
        <v>172</v>
      </c>
      <c r="J797" s="1" t="s">
        <v>2202</v>
      </c>
      <c r="K797" s="1" t="s">
        <v>1878</v>
      </c>
      <c r="L797" s="1"/>
      <c r="M797" s="1" t="s">
        <v>254</v>
      </c>
      <c r="N797" s="6">
        <f>IFERROR(__xludf.DUMMYFUNCTION("IF(REGEXMATCH(A797, ""^00-""), 0, IF(AND(EQ(F797, """"), EQ(G797, """")), 1, 0))"),0.0)</f>
        <v>0</v>
      </c>
      <c r="O797" s="6">
        <f>IFERROR(__xludf.DUMMYFUNCTION("IF(REGEXMATCH(A797, ""^00-""), 0, IF(AND(NE(F797, """"), EQ(G797, """")), 1, 0))"),0.0)</f>
        <v>0</v>
      </c>
      <c r="P797" s="6">
        <f>IFERROR(__xludf.DUMMYFUNCTION("IF(REGEXMATCH(A797, ""^00-""), 0, IF(AND(EQ(F797, """"), NE(G797, """")), 1, 0))"),0.0)</f>
        <v>0</v>
      </c>
      <c r="Q797" s="6">
        <f>IFERROR(__xludf.DUMMYFUNCTION("IF(REGEXMATCH(A797, ""^00-""), 0, IF(AND(NE(F797, """"), NE(G797, """")), 1, 0))"),1.0)</f>
        <v>1</v>
      </c>
      <c r="R797" s="6">
        <f t="shared" si="1"/>
        <v>1</v>
      </c>
    </row>
    <row r="798">
      <c r="A798" s="1" t="s">
        <v>122</v>
      </c>
      <c r="B798" s="1" t="s">
        <v>2209</v>
      </c>
      <c r="C798" s="1">
        <v>532.0</v>
      </c>
      <c r="D798" s="1">
        <v>0.0</v>
      </c>
      <c r="E798" s="1">
        <v>532.0</v>
      </c>
      <c r="F798" s="1" t="s">
        <v>2210</v>
      </c>
      <c r="G798" s="1" t="s">
        <v>2211</v>
      </c>
      <c r="H798" s="1" t="s">
        <v>190</v>
      </c>
      <c r="I798" s="1" t="s">
        <v>172</v>
      </c>
      <c r="J798" s="1" t="s">
        <v>2202</v>
      </c>
      <c r="K798" s="1" t="s">
        <v>1878</v>
      </c>
      <c r="L798" s="1"/>
      <c r="M798" s="1" t="s">
        <v>191</v>
      </c>
      <c r="N798" s="6">
        <f>IFERROR(__xludf.DUMMYFUNCTION("IF(REGEXMATCH(A798, ""^00-""), 0, IF(AND(EQ(F798, """"), EQ(G798, """")), 1, 0))"),0.0)</f>
        <v>0</v>
      </c>
      <c r="O798" s="6">
        <f>IFERROR(__xludf.DUMMYFUNCTION("IF(REGEXMATCH(A798, ""^00-""), 0, IF(AND(NE(F798, """"), EQ(G798, """")), 1, 0))"),0.0)</f>
        <v>0</v>
      </c>
      <c r="P798" s="6">
        <f>IFERROR(__xludf.DUMMYFUNCTION("IF(REGEXMATCH(A798, ""^00-""), 0, IF(AND(EQ(F798, """"), NE(G798, """")), 1, 0))"),0.0)</f>
        <v>0</v>
      </c>
      <c r="Q798" s="6">
        <f>IFERROR(__xludf.DUMMYFUNCTION("IF(REGEXMATCH(A798, ""^00-""), 0, IF(AND(NE(F798, """"), NE(G798, """")), 1, 0))"),1.0)</f>
        <v>1</v>
      </c>
      <c r="R798" s="6">
        <f t="shared" si="1"/>
        <v>1</v>
      </c>
    </row>
    <row r="799">
      <c r="A799" s="1" t="s">
        <v>122</v>
      </c>
      <c r="B799" s="1" t="s">
        <v>2212</v>
      </c>
      <c r="C799" s="1">
        <v>78.0</v>
      </c>
      <c r="D799" s="1">
        <v>454.0</v>
      </c>
      <c r="E799" s="1">
        <v>532.0</v>
      </c>
      <c r="F799" s="1" t="s">
        <v>2213</v>
      </c>
      <c r="G799" s="1" t="s">
        <v>2214</v>
      </c>
      <c r="H799" s="1" t="s">
        <v>190</v>
      </c>
      <c r="I799" s="1" t="s">
        <v>172</v>
      </c>
      <c r="J799" s="1" t="s">
        <v>2202</v>
      </c>
      <c r="K799" s="1" t="s">
        <v>1878</v>
      </c>
      <c r="L799" s="1"/>
      <c r="M799" s="1" t="s">
        <v>191</v>
      </c>
      <c r="N799" s="6">
        <f>IFERROR(__xludf.DUMMYFUNCTION("IF(REGEXMATCH(A799, ""^00-""), 0, IF(AND(EQ(F799, """"), EQ(G799, """")), 1, 0))"),0.0)</f>
        <v>0</v>
      </c>
      <c r="O799" s="6">
        <f>IFERROR(__xludf.DUMMYFUNCTION("IF(REGEXMATCH(A799, ""^00-""), 0, IF(AND(NE(F799, """"), EQ(G799, """")), 1, 0))"),0.0)</f>
        <v>0</v>
      </c>
      <c r="P799" s="6">
        <f>IFERROR(__xludf.DUMMYFUNCTION("IF(REGEXMATCH(A799, ""^00-""), 0, IF(AND(EQ(F799, """"), NE(G799, """")), 1, 0))"),0.0)</f>
        <v>0</v>
      </c>
      <c r="Q799" s="6">
        <f>IFERROR(__xludf.DUMMYFUNCTION("IF(REGEXMATCH(A799, ""^00-""), 0, IF(AND(NE(F799, """"), NE(G799, """")), 1, 0))"),1.0)</f>
        <v>1</v>
      </c>
      <c r="R799" s="6">
        <f t="shared" si="1"/>
        <v>1</v>
      </c>
    </row>
    <row r="800">
      <c r="A800" s="1" t="s">
        <v>122</v>
      </c>
      <c r="B800" s="1" t="s">
        <v>2215</v>
      </c>
      <c r="C800" s="1">
        <v>78.0</v>
      </c>
      <c r="D800" s="1">
        <v>454.0</v>
      </c>
      <c r="E800" s="1">
        <v>532.0</v>
      </c>
      <c r="F800" s="1" t="s">
        <v>2216</v>
      </c>
      <c r="G800" s="1" t="s">
        <v>2217</v>
      </c>
      <c r="H800" s="1" t="s">
        <v>190</v>
      </c>
      <c r="I800" s="1" t="s">
        <v>172</v>
      </c>
      <c r="J800" s="1" t="s">
        <v>2202</v>
      </c>
      <c r="K800" s="1" t="s">
        <v>1878</v>
      </c>
      <c r="L800" s="1"/>
      <c r="M800" s="1" t="s">
        <v>191</v>
      </c>
      <c r="N800" s="6">
        <f>IFERROR(__xludf.DUMMYFUNCTION("IF(REGEXMATCH(A800, ""^00-""), 0, IF(AND(EQ(F800, """"), EQ(G800, """")), 1, 0))"),0.0)</f>
        <v>0</v>
      </c>
      <c r="O800" s="6">
        <f>IFERROR(__xludf.DUMMYFUNCTION("IF(REGEXMATCH(A800, ""^00-""), 0, IF(AND(NE(F800, """"), EQ(G800, """")), 1, 0))"),0.0)</f>
        <v>0</v>
      </c>
      <c r="P800" s="6">
        <f>IFERROR(__xludf.DUMMYFUNCTION("IF(REGEXMATCH(A800, ""^00-""), 0, IF(AND(EQ(F800, """"), NE(G800, """")), 1, 0))"),0.0)</f>
        <v>0</v>
      </c>
      <c r="Q800" s="6">
        <f>IFERROR(__xludf.DUMMYFUNCTION("IF(REGEXMATCH(A800, ""^00-""), 0, IF(AND(NE(F800, """"), NE(G800, """")), 1, 0))"),1.0)</f>
        <v>1</v>
      </c>
      <c r="R800" s="6">
        <f t="shared" si="1"/>
        <v>1</v>
      </c>
    </row>
    <row r="801">
      <c r="A801" s="1" t="s">
        <v>122</v>
      </c>
      <c r="B801" s="1" t="s">
        <v>2218</v>
      </c>
      <c r="C801" s="1">
        <v>78.0</v>
      </c>
      <c r="D801" s="1">
        <v>454.0</v>
      </c>
      <c r="E801" s="1">
        <v>532.0</v>
      </c>
      <c r="F801" s="1" t="s">
        <v>2219</v>
      </c>
      <c r="G801" s="1" t="s">
        <v>2220</v>
      </c>
      <c r="H801" s="1" t="s">
        <v>190</v>
      </c>
      <c r="I801" s="1" t="s">
        <v>172</v>
      </c>
      <c r="J801" s="1" t="s">
        <v>2202</v>
      </c>
      <c r="K801" s="1" t="s">
        <v>1878</v>
      </c>
      <c r="L801" s="1"/>
      <c r="M801" s="1" t="s">
        <v>191</v>
      </c>
      <c r="N801" s="6">
        <f>IFERROR(__xludf.DUMMYFUNCTION("IF(REGEXMATCH(A801, ""^00-""), 0, IF(AND(EQ(F801, """"), EQ(G801, """")), 1, 0))"),0.0)</f>
        <v>0</v>
      </c>
      <c r="O801" s="6">
        <f>IFERROR(__xludf.DUMMYFUNCTION("IF(REGEXMATCH(A801, ""^00-""), 0, IF(AND(NE(F801, """"), EQ(G801, """")), 1, 0))"),0.0)</f>
        <v>0</v>
      </c>
      <c r="P801" s="6">
        <f>IFERROR(__xludf.DUMMYFUNCTION("IF(REGEXMATCH(A801, ""^00-""), 0, IF(AND(EQ(F801, """"), NE(G801, """")), 1, 0))"),0.0)</f>
        <v>0</v>
      </c>
      <c r="Q801" s="6">
        <f>IFERROR(__xludf.DUMMYFUNCTION("IF(REGEXMATCH(A801, ""^00-""), 0, IF(AND(NE(F801, """"), NE(G801, """")), 1, 0))"),1.0)</f>
        <v>1</v>
      </c>
      <c r="R801" s="6">
        <f t="shared" si="1"/>
        <v>1</v>
      </c>
    </row>
    <row r="802">
      <c r="A802" s="1" t="s">
        <v>122</v>
      </c>
      <c r="B802" s="1" t="s">
        <v>2221</v>
      </c>
      <c r="C802" s="1">
        <v>78.0</v>
      </c>
      <c r="D802" s="1">
        <v>454.0</v>
      </c>
      <c r="E802" s="1">
        <v>532.0</v>
      </c>
      <c r="F802" s="1" t="s">
        <v>2222</v>
      </c>
      <c r="G802" s="1" t="s">
        <v>2223</v>
      </c>
      <c r="H802" s="1" t="s">
        <v>190</v>
      </c>
      <c r="I802" s="1" t="s">
        <v>172</v>
      </c>
      <c r="J802" s="1" t="s">
        <v>2202</v>
      </c>
      <c r="K802" s="1" t="s">
        <v>1878</v>
      </c>
      <c r="L802" s="1"/>
      <c r="M802" s="1" t="s">
        <v>191</v>
      </c>
      <c r="N802" s="6">
        <f>IFERROR(__xludf.DUMMYFUNCTION("IF(REGEXMATCH(A802, ""^00-""), 0, IF(AND(EQ(F802, """"), EQ(G802, """")), 1, 0))"),0.0)</f>
        <v>0</v>
      </c>
      <c r="O802" s="6">
        <f>IFERROR(__xludf.DUMMYFUNCTION("IF(REGEXMATCH(A802, ""^00-""), 0, IF(AND(NE(F802, """"), EQ(G802, """")), 1, 0))"),0.0)</f>
        <v>0</v>
      </c>
      <c r="P802" s="6">
        <f>IFERROR(__xludf.DUMMYFUNCTION("IF(REGEXMATCH(A802, ""^00-""), 0, IF(AND(EQ(F802, """"), NE(G802, """")), 1, 0))"),0.0)</f>
        <v>0</v>
      </c>
      <c r="Q802" s="6">
        <f>IFERROR(__xludf.DUMMYFUNCTION("IF(REGEXMATCH(A802, ""^00-""), 0, IF(AND(NE(F802, """"), NE(G802, """")), 1, 0))"),1.0)</f>
        <v>1</v>
      </c>
      <c r="R802" s="6">
        <f t="shared" si="1"/>
        <v>1</v>
      </c>
    </row>
    <row r="803">
      <c r="A803" s="1" t="s">
        <v>122</v>
      </c>
      <c r="B803" s="1" t="s">
        <v>2224</v>
      </c>
      <c r="C803" s="1">
        <v>78.0</v>
      </c>
      <c r="D803" s="1">
        <v>454.0</v>
      </c>
      <c r="E803" s="1">
        <v>532.0</v>
      </c>
      <c r="F803" s="1" t="s">
        <v>2225</v>
      </c>
      <c r="G803" s="1" t="s">
        <v>2226</v>
      </c>
      <c r="H803" s="1" t="s">
        <v>190</v>
      </c>
      <c r="I803" s="1" t="s">
        <v>172</v>
      </c>
      <c r="J803" s="1" t="s">
        <v>2202</v>
      </c>
      <c r="K803" s="1" t="s">
        <v>1878</v>
      </c>
      <c r="L803" s="1"/>
      <c r="M803" s="1" t="s">
        <v>191</v>
      </c>
      <c r="N803" s="6">
        <f>IFERROR(__xludf.DUMMYFUNCTION("IF(REGEXMATCH(A803, ""^00-""), 0, IF(AND(EQ(F803, """"), EQ(G803, """")), 1, 0))"),0.0)</f>
        <v>0</v>
      </c>
      <c r="O803" s="6">
        <f>IFERROR(__xludf.DUMMYFUNCTION("IF(REGEXMATCH(A803, ""^00-""), 0, IF(AND(NE(F803, """"), EQ(G803, """")), 1, 0))"),0.0)</f>
        <v>0</v>
      </c>
      <c r="P803" s="6">
        <f>IFERROR(__xludf.DUMMYFUNCTION("IF(REGEXMATCH(A803, ""^00-""), 0, IF(AND(EQ(F803, """"), NE(G803, """")), 1, 0))"),0.0)</f>
        <v>0</v>
      </c>
      <c r="Q803" s="6">
        <f>IFERROR(__xludf.DUMMYFUNCTION("IF(REGEXMATCH(A803, ""^00-""), 0, IF(AND(NE(F803, """"), NE(G803, """")), 1, 0))"),1.0)</f>
        <v>1</v>
      </c>
      <c r="R803" s="6">
        <f t="shared" si="1"/>
        <v>1</v>
      </c>
    </row>
    <row r="804">
      <c r="A804" s="1" t="s">
        <v>122</v>
      </c>
      <c r="B804" s="1" t="s">
        <v>2227</v>
      </c>
      <c r="C804" s="1">
        <v>78.0</v>
      </c>
      <c r="D804" s="1">
        <v>454.0</v>
      </c>
      <c r="E804" s="1">
        <v>532.0</v>
      </c>
      <c r="F804" s="1" t="s">
        <v>2228</v>
      </c>
      <c r="G804" s="1" t="s">
        <v>2229</v>
      </c>
      <c r="H804" s="1" t="s">
        <v>190</v>
      </c>
      <c r="I804" s="1" t="s">
        <v>172</v>
      </c>
      <c r="J804" s="1" t="s">
        <v>2202</v>
      </c>
      <c r="K804" s="1" t="s">
        <v>1878</v>
      </c>
      <c r="L804" s="1"/>
      <c r="M804" s="1" t="s">
        <v>191</v>
      </c>
      <c r="N804" s="6">
        <f>IFERROR(__xludf.DUMMYFUNCTION("IF(REGEXMATCH(A804, ""^00-""), 0, IF(AND(EQ(F804, """"), EQ(G804, """")), 1, 0))"),0.0)</f>
        <v>0</v>
      </c>
      <c r="O804" s="6">
        <f>IFERROR(__xludf.DUMMYFUNCTION("IF(REGEXMATCH(A804, ""^00-""), 0, IF(AND(NE(F804, """"), EQ(G804, """")), 1, 0))"),0.0)</f>
        <v>0</v>
      </c>
      <c r="P804" s="6">
        <f>IFERROR(__xludf.DUMMYFUNCTION("IF(REGEXMATCH(A804, ""^00-""), 0, IF(AND(EQ(F804, """"), NE(G804, """")), 1, 0))"),0.0)</f>
        <v>0</v>
      </c>
      <c r="Q804" s="6">
        <f>IFERROR(__xludf.DUMMYFUNCTION("IF(REGEXMATCH(A804, ""^00-""), 0, IF(AND(NE(F804, """"), NE(G804, """")), 1, 0))"),1.0)</f>
        <v>1</v>
      </c>
      <c r="R804" s="6">
        <f t="shared" si="1"/>
        <v>1</v>
      </c>
    </row>
    <row r="805">
      <c r="A805" s="1" t="s">
        <v>122</v>
      </c>
      <c r="B805" s="1" t="s">
        <v>2230</v>
      </c>
      <c r="C805" s="1">
        <v>78.0</v>
      </c>
      <c r="D805" s="1">
        <v>454.0</v>
      </c>
      <c r="E805" s="1">
        <v>532.0</v>
      </c>
      <c r="F805" s="1" t="s">
        <v>2231</v>
      </c>
      <c r="G805" s="1" t="s">
        <v>2232</v>
      </c>
      <c r="H805" s="1" t="s">
        <v>190</v>
      </c>
      <c r="I805" s="1" t="s">
        <v>172</v>
      </c>
      <c r="J805" s="1" t="s">
        <v>2202</v>
      </c>
      <c r="K805" s="1" t="s">
        <v>1878</v>
      </c>
      <c r="L805" s="1"/>
      <c r="M805" s="1" t="s">
        <v>191</v>
      </c>
      <c r="N805" s="6">
        <f>IFERROR(__xludf.DUMMYFUNCTION("IF(REGEXMATCH(A805, ""^00-""), 0, IF(AND(EQ(F805, """"), EQ(G805, """")), 1, 0))"),0.0)</f>
        <v>0</v>
      </c>
      <c r="O805" s="6">
        <f>IFERROR(__xludf.DUMMYFUNCTION("IF(REGEXMATCH(A805, ""^00-""), 0, IF(AND(NE(F805, """"), EQ(G805, """")), 1, 0))"),0.0)</f>
        <v>0</v>
      </c>
      <c r="P805" s="6">
        <f>IFERROR(__xludf.DUMMYFUNCTION("IF(REGEXMATCH(A805, ""^00-""), 0, IF(AND(EQ(F805, """"), NE(G805, """")), 1, 0))"),0.0)</f>
        <v>0</v>
      </c>
      <c r="Q805" s="6">
        <f>IFERROR(__xludf.DUMMYFUNCTION("IF(REGEXMATCH(A805, ""^00-""), 0, IF(AND(NE(F805, """"), NE(G805, """")), 1, 0))"),1.0)</f>
        <v>1</v>
      </c>
      <c r="R805" s="6">
        <f t="shared" si="1"/>
        <v>1</v>
      </c>
    </row>
    <row r="806">
      <c r="A806" s="1" t="s">
        <v>122</v>
      </c>
      <c r="B806" s="1" t="s">
        <v>2233</v>
      </c>
      <c r="C806" s="1">
        <v>78.0</v>
      </c>
      <c r="D806" s="1">
        <v>454.0</v>
      </c>
      <c r="E806" s="1">
        <v>532.0</v>
      </c>
      <c r="F806" s="1" t="s">
        <v>2234</v>
      </c>
      <c r="G806" s="1" t="s">
        <v>2235</v>
      </c>
      <c r="H806" s="1" t="s">
        <v>190</v>
      </c>
      <c r="I806" s="1" t="s">
        <v>172</v>
      </c>
      <c r="J806" s="1" t="s">
        <v>2202</v>
      </c>
      <c r="K806" s="1" t="s">
        <v>1878</v>
      </c>
      <c r="L806" s="1"/>
      <c r="M806" s="1" t="s">
        <v>191</v>
      </c>
      <c r="N806" s="6">
        <f>IFERROR(__xludf.DUMMYFUNCTION("IF(REGEXMATCH(A806, ""^00-""), 0, IF(AND(EQ(F806, """"), EQ(G806, """")), 1, 0))"),0.0)</f>
        <v>0</v>
      </c>
      <c r="O806" s="6">
        <f>IFERROR(__xludf.DUMMYFUNCTION("IF(REGEXMATCH(A806, ""^00-""), 0, IF(AND(NE(F806, """"), EQ(G806, """")), 1, 0))"),0.0)</f>
        <v>0</v>
      </c>
      <c r="P806" s="6">
        <f>IFERROR(__xludf.DUMMYFUNCTION("IF(REGEXMATCH(A806, ""^00-""), 0, IF(AND(EQ(F806, """"), NE(G806, """")), 1, 0))"),0.0)</f>
        <v>0</v>
      </c>
      <c r="Q806" s="6">
        <f>IFERROR(__xludf.DUMMYFUNCTION("IF(REGEXMATCH(A806, ""^00-""), 0, IF(AND(NE(F806, """"), NE(G806, """")), 1, 0))"),1.0)</f>
        <v>1</v>
      </c>
      <c r="R806" s="6">
        <f t="shared" si="1"/>
        <v>1</v>
      </c>
    </row>
    <row r="807">
      <c r="A807" s="1" t="s">
        <v>122</v>
      </c>
      <c r="B807" s="1" t="s">
        <v>2236</v>
      </c>
      <c r="C807" s="1">
        <v>7.0</v>
      </c>
      <c r="D807" s="1">
        <v>525.0</v>
      </c>
      <c r="E807" s="1">
        <v>532.0</v>
      </c>
      <c r="F807" s="1" t="s">
        <v>2237</v>
      </c>
      <c r="G807" s="1" t="s">
        <v>2238</v>
      </c>
      <c r="H807" s="1" t="s">
        <v>171</v>
      </c>
      <c r="I807" s="1" t="s">
        <v>172</v>
      </c>
      <c r="J807" s="1" t="s">
        <v>2202</v>
      </c>
      <c r="K807" s="1" t="s">
        <v>1878</v>
      </c>
      <c r="L807" s="1"/>
      <c r="M807" s="1" t="s">
        <v>171</v>
      </c>
      <c r="N807" s="6">
        <f>IFERROR(__xludf.DUMMYFUNCTION("IF(REGEXMATCH(A807, ""^00-""), 0, IF(AND(EQ(F807, """"), EQ(G807, """")), 1, 0))"),0.0)</f>
        <v>0</v>
      </c>
      <c r="O807" s="6">
        <f>IFERROR(__xludf.DUMMYFUNCTION("IF(REGEXMATCH(A807, ""^00-""), 0, IF(AND(NE(F807, """"), EQ(G807, """")), 1, 0))"),0.0)</f>
        <v>0</v>
      </c>
      <c r="P807" s="6">
        <f>IFERROR(__xludf.DUMMYFUNCTION("IF(REGEXMATCH(A807, ""^00-""), 0, IF(AND(EQ(F807, """"), NE(G807, """")), 1, 0))"),0.0)</f>
        <v>0</v>
      </c>
      <c r="Q807" s="6">
        <f>IFERROR(__xludf.DUMMYFUNCTION("IF(REGEXMATCH(A807, ""^00-""), 0, IF(AND(NE(F807, """"), NE(G807, """")), 1, 0))"),1.0)</f>
        <v>1</v>
      </c>
      <c r="R807" s="6">
        <f t="shared" si="1"/>
        <v>1</v>
      </c>
    </row>
    <row r="808">
      <c r="A808" s="1" t="s">
        <v>124</v>
      </c>
      <c r="B808" s="1" t="s">
        <v>2239</v>
      </c>
      <c r="C808" s="1">
        <v>532.0</v>
      </c>
      <c r="D808" s="1">
        <v>0.0</v>
      </c>
      <c r="E808" s="1">
        <v>532.0</v>
      </c>
      <c r="F808" s="1" t="s">
        <v>2240</v>
      </c>
      <c r="G808" s="1" t="s">
        <v>2241</v>
      </c>
      <c r="H808" s="1" t="s">
        <v>190</v>
      </c>
      <c r="I808" s="1" t="s">
        <v>172</v>
      </c>
      <c r="J808" s="1" t="s">
        <v>2242</v>
      </c>
      <c r="K808" s="1" t="s">
        <v>1878</v>
      </c>
      <c r="L808" s="1"/>
      <c r="M808" s="1" t="s">
        <v>191</v>
      </c>
      <c r="N808" s="6">
        <f>IFERROR(__xludf.DUMMYFUNCTION("IF(REGEXMATCH(A808, ""^00-""), 0, IF(AND(EQ(F808, """"), EQ(G808, """")), 1, 0))"),0.0)</f>
        <v>0</v>
      </c>
      <c r="O808" s="6">
        <f>IFERROR(__xludf.DUMMYFUNCTION("IF(REGEXMATCH(A808, ""^00-""), 0, IF(AND(NE(F808, """"), EQ(G808, """")), 1, 0))"),0.0)</f>
        <v>0</v>
      </c>
      <c r="P808" s="6">
        <f>IFERROR(__xludf.DUMMYFUNCTION("IF(REGEXMATCH(A808, ""^00-""), 0, IF(AND(EQ(F808, """"), NE(G808, """")), 1, 0))"),0.0)</f>
        <v>0</v>
      </c>
      <c r="Q808" s="6">
        <f>IFERROR(__xludf.DUMMYFUNCTION("IF(REGEXMATCH(A808, ""^00-""), 0, IF(AND(NE(F808, """"), NE(G808, """")), 1, 0))"),1.0)</f>
        <v>1</v>
      </c>
      <c r="R808" s="6">
        <f t="shared" si="1"/>
        <v>1</v>
      </c>
    </row>
    <row r="809">
      <c r="A809" s="1" t="s">
        <v>124</v>
      </c>
      <c r="B809" s="1" t="s">
        <v>2243</v>
      </c>
      <c r="C809" s="1">
        <v>58.0</v>
      </c>
      <c r="D809" s="1">
        <v>474.0</v>
      </c>
      <c r="E809" s="1">
        <v>532.0</v>
      </c>
      <c r="F809" s="1" t="s">
        <v>2244</v>
      </c>
      <c r="G809" s="1" t="s">
        <v>2245</v>
      </c>
      <c r="H809" s="1" t="s">
        <v>190</v>
      </c>
      <c r="I809" s="1" t="s">
        <v>172</v>
      </c>
      <c r="J809" s="1" t="s">
        <v>2242</v>
      </c>
      <c r="K809" s="1" t="s">
        <v>1878</v>
      </c>
      <c r="L809" s="1"/>
      <c r="M809" s="1" t="s">
        <v>191</v>
      </c>
      <c r="N809" s="6">
        <f>IFERROR(__xludf.DUMMYFUNCTION("IF(REGEXMATCH(A809, ""^00-""), 0, IF(AND(EQ(F809, """"), EQ(G809, """")), 1, 0))"),0.0)</f>
        <v>0</v>
      </c>
      <c r="O809" s="6">
        <f>IFERROR(__xludf.DUMMYFUNCTION("IF(REGEXMATCH(A809, ""^00-""), 0, IF(AND(NE(F809, """"), EQ(G809, """")), 1, 0))"),0.0)</f>
        <v>0</v>
      </c>
      <c r="P809" s="6">
        <f>IFERROR(__xludf.DUMMYFUNCTION("IF(REGEXMATCH(A809, ""^00-""), 0, IF(AND(EQ(F809, """"), NE(G809, """")), 1, 0))"),0.0)</f>
        <v>0</v>
      </c>
      <c r="Q809" s="6">
        <f>IFERROR(__xludf.DUMMYFUNCTION("IF(REGEXMATCH(A809, ""^00-""), 0, IF(AND(NE(F809, """"), NE(G809, """")), 1, 0))"),1.0)</f>
        <v>1</v>
      </c>
      <c r="R809" s="6">
        <f t="shared" si="1"/>
        <v>1</v>
      </c>
    </row>
    <row r="810">
      <c r="A810" s="1" t="s">
        <v>124</v>
      </c>
      <c r="B810" s="1" t="s">
        <v>2246</v>
      </c>
      <c r="C810" s="1">
        <v>58.0</v>
      </c>
      <c r="D810" s="1">
        <v>474.0</v>
      </c>
      <c r="E810" s="1">
        <v>532.0</v>
      </c>
      <c r="F810" s="1" t="s">
        <v>2247</v>
      </c>
      <c r="G810" s="1" t="s">
        <v>2248</v>
      </c>
      <c r="H810" s="1" t="s">
        <v>190</v>
      </c>
      <c r="I810" s="1" t="s">
        <v>172</v>
      </c>
      <c r="J810" s="1" t="s">
        <v>2242</v>
      </c>
      <c r="K810" s="1" t="s">
        <v>1878</v>
      </c>
      <c r="L810" s="1"/>
      <c r="M810" s="1" t="s">
        <v>191</v>
      </c>
      <c r="N810" s="6">
        <f>IFERROR(__xludf.DUMMYFUNCTION("IF(REGEXMATCH(A810, ""^00-""), 0, IF(AND(EQ(F810, """"), EQ(G810, """")), 1, 0))"),0.0)</f>
        <v>0</v>
      </c>
      <c r="O810" s="6">
        <f>IFERROR(__xludf.DUMMYFUNCTION("IF(REGEXMATCH(A810, ""^00-""), 0, IF(AND(NE(F810, """"), EQ(G810, """")), 1, 0))"),0.0)</f>
        <v>0</v>
      </c>
      <c r="P810" s="6">
        <f>IFERROR(__xludf.DUMMYFUNCTION("IF(REGEXMATCH(A810, ""^00-""), 0, IF(AND(EQ(F810, """"), NE(G810, """")), 1, 0))"),0.0)</f>
        <v>0</v>
      </c>
      <c r="Q810" s="6">
        <f>IFERROR(__xludf.DUMMYFUNCTION("IF(REGEXMATCH(A810, ""^00-""), 0, IF(AND(NE(F810, """"), NE(G810, """")), 1, 0))"),1.0)</f>
        <v>1</v>
      </c>
      <c r="R810" s="6">
        <f t="shared" si="1"/>
        <v>1</v>
      </c>
    </row>
    <row r="811">
      <c r="A811" s="1" t="s">
        <v>124</v>
      </c>
      <c r="B811" s="1" t="s">
        <v>2249</v>
      </c>
      <c r="C811" s="1">
        <v>53.0</v>
      </c>
      <c r="D811" s="1">
        <v>479.0</v>
      </c>
      <c r="E811" s="1">
        <v>532.0</v>
      </c>
      <c r="F811" s="1" t="s">
        <v>2250</v>
      </c>
      <c r="G811" s="1" t="s">
        <v>2251</v>
      </c>
      <c r="H811" s="1" t="s">
        <v>190</v>
      </c>
      <c r="I811" s="1" t="s">
        <v>172</v>
      </c>
      <c r="J811" s="1" t="s">
        <v>2242</v>
      </c>
      <c r="K811" s="1" t="s">
        <v>1878</v>
      </c>
      <c r="L811" s="1"/>
      <c r="M811" s="1" t="s">
        <v>191</v>
      </c>
      <c r="N811" s="6">
        <f>IFERROR(__xludf.DUMMYFUNCTION("IF(REGEXMATCH(A811, ""^00-""), 0, IF(AND(EQ(F811, """"), EQ(G811, """")), 1, 0))"),0.0)</f>
        <v>0</v>
      </c>
      <c r="O811" s="6">
        <f>IFERROR(__xludf.DUMMYFUNCTION("IF(REGEXMATCH(A811, ""^00-""), 0, IF(AND(NE(F811, """"), EQ(G811, """")), 1, 0))"),0.0)</f>
        <v>0</v>
      </c>
      <c r="P811" s="6">
        <f>IFERROR(__xludf.DUMMYFUNCTION("IF(REGEXMATCH(A811, ""^00-""), 0, IF(AND(EQ(F811, """"), NE(G811, """")), 1, 0))"),0.0)</f>
        <v>0</v>
      </c>
      <c r="Q811" s="6">
        <f>IFERROR(__xludf.DUMMYFUNCTION("IF(REGEXMATCH(A811, ""^00-""), 0, IF(AND(NE(F811, """"), NE(G811, """")), 1, 0))"),1.0)</f>
        <v>1</v>
      </c>
      <c r="R811" s="6">
        <f t="shared" si="1"/>
        <v>1</v>
      </c>
    </row>
    <row r="812">
      <c r="A812" s="1" t="s">
        <v>124</v>
      </c>
      <c r="B812" s="1" t="s">
        <v>2252</v>
      </c>
      <c r="C812" s="1">
        <v>53.0</v>
      </c>
      <c r="D812" s="1">
        <v>479.0</v>
      </c>
      <c r="E812" s="1">
        <v>532.0</v>
      </c>
      <c r="F812" s="1" t="s">
        <v>2253</v>
      </c>
      <c r="G812" s="1" t="s">
        <v>2254</v>
      </c>
      <c r="H812" s="1" t="s">
        <v>190</v>
      </c>
      <c r="I812" s="1" t="s">
        <v>172</v>
      </c>
      <c r="J812" s="1" t="s">
        <v>2242</v>
      </c>
      <c r="K812" s="1" t="s">
        <v>1878</v>
      </c>
      <c r="L812" s="1"/>
      <c r="M812" s="1" t="s">
        <v>191</v>
      </c>
      <c r="N812" s="6">
        <f>IFERROR(__xludf.DUMMYFUNCTION("IF(REGEXMATCH(A812, ""^00-""), 0, IF(AND(EQ(F812, """"), EQ(G812, """")), 1, 0))"),0.0)</f>
        <v>0</v>
      </c>
      <c r="O812" s="6">
        <f>IFERROR(__xludf.DUMMYFUNCTION("IF(REGEXMATCH(A812, ""^00-""), 0, IF(AND(NE(F812, """"), EQ(G812, """")), 1, 0))"),0.0)</f>
        <v>0</v>
      </c>
      <c r="P812" s="6">
        <f>IFERROR(__xludf.DUMMYFUNCTION("IF(REGEXMATCH(A812, ""^00-""), 0, IF(AND(EQ(F812, """"), NE(G812, """")), 1, 0))"),0.0)</f>
        <v>0</v>
      </c>
      <c r="Q812" s="6">
        <f>IFERROR(__xludf.DUMMYFUNCTION("IF(REGEXMATCH(A812, ""^00-""), 0, IF(AND(NE(F812, """"), NE(G812, """")), 1, 0))"),1.0)</f>
        <v>1</v>
      </c>
      <c r="R812" s="6">
        <f t="shared" si="1"/>
        <v>1</v>
      </c>
    </row>
    <row r="813">
      <c r="A813" s="1" t="s">
        <v>124</v>
      </c>
      <c r="B813" s="1" t="s">
        <v>2255</v>
      </c>
      <c r="C813" s="1">
        <v>53.0</v>
      </c>
      <c r="D813" s="1">
        <v>479.0</v>
      </c>
      <c r="E813" s="1">
        <v>532.0</v>
      </c>
      <c r="F813" s="1" t="s">
        <v>2256</v>
      </c>
      <c r="G813" s="1" t="s">
        <v>2257</v>
      </c>
      <c r="H813" s="1" t="s">
        <v>190</v>
      </c>
      <c r="I813" s="1" t="s">
        <v>172</v>
      </c>
      <c r="J813" s="1" t="s">
        <v>2242</v>
      </c>
      <c r="K813" s="1" t="s">
        <v>1878</v>
      </c>
      <c r="L813" s="1"/>
      <c r="M813" s="1" t="s">
        <v>191</v>
      </c>
      <c r="N813" s="6">
        <f>IFERROR(__xludf.DUMMYFUNCTION("IF(REGEXMATCH(A813, ""^00-""), 0, IF(AND(EQ(F813, """"), EQ(G813, """")), 1, 0))"),0.0)</f>
        <v>0</v>
      </c>
      <c r="O813" s="6">
        <f>IFERROR(__xludf.DUMMYFUNCTION("IF(REGEXMATCH(A813, ""^00-""), 0, IF(AND(NE(F813, """"), EQ(G813, """")), 1, 0))"),0.0)</f>
        <v>0</v>
      </c>
      <c r="P813" s="6">
        <f>IFERROR(__xludf.DUMMYFUNCTION("IF(REGEXMATCH(A813, ""^00-""), 0, IF(AND(EQ(F813, """"), NE(G813, """")), 1, 0))"),0.0)</f>
        <v>0</v>
      </c>
      <c r="Q813" s="6">
        <f>IFERROR(__xludf.DUMMYFUNCTION("IF(REGEXMATCH(A813, ""^00-""), 0, IF(AND(NE(F813, """"), NE(G813, """")), 1, 0))"),1.0)</f>
        <v>1</v>
      </c>
      <c r="R813" s="6">
        <f t="shared" si="1"/>
        <v>1</v>
      </c>
    </row>
    <row r="814">
      <c r="A814" s="1" t="s">
        <v>124</v>
      </c>
      <c r="B814" s="1" t="s">
        <v>2258</v>
      </c>
      <c r="C814" s="1">
        <v>53.0</v>
      </c>
      <c r="D814" s="1">
        <v>479.0</v>
      </c>
      <c r="E814" s="1">
        <v>532.0</v>
      </c>
      <c r="F814" s="1" t="s">
        <v>2259</v>
      </c>
      <c r="G814" s="1" t="s">
        <v>2260</v>
      </c>
      <c r="H814" s="1" t="s">
        <v>190</v>
      </c>
      <c r="I814" s="1" t="s">
        <v>172</v>
      </c>
      <c r="J814" s="1" t="s">
        <v>2242</v>
      </c>
      <c r="K814" s="1" t="s">
        <v>1878</v>
      </c>
      <c r="L814" s="1"/>
      <c r="M814" s="1" t="s">
        <v>191</v>
      </c>
      <c r="N814" s="6">
        <f>IFERROR(__xludf.DUMMYFUNCTION("IF(REGEXMATCH(A814, ""^00-""), 0, IF(AND(EQ(F814, """"), EQ(G814, """")), 1, 0))"),0.0)</f>
        <v>0</v>
      </c>
      <c r="O814" s="6">
        <f>IFERROR(__xludf.DUMMYFUNCTION("IF(REGEXMATCH(A814, ""^00-""), 0, IF(AND(NE(F814, """"), EQ(G814, """")), 1, 0))"),0.0)</f>
        <v>0</v>
      </c>
      <c r="P814" s="6">
        <f>IFERROR(__xludf.DUMMYFUNCTION("IF(REGEXMATCH(A814, ""^00-""), 0, IF(AND(EQ(F814, """"), NE(G814, """")), 1, 0))"),0.0)</f>
        <v>0</v>
      </c>
      <c r="Q814" s="6">
        <f>IFERROR(__xludf.DUMMYFUNCTION("IF(REGEXMATCH(A814, ""^00-""), 0, IF(AND(NE(F814, """"), NE(G814, """")), 1, 0))"),1.0)</f>
        <v>1</v>
      </c>
      <c r="R814" s="6">
        <f t="shared" si="1"/>
        <v>1</v>
      </c>
    </row>
    <row r="815">
      <c r="A815" s="1" t="s">
        <v>124</v>
      </c>
      <c r="B815" s="1" t="s">
        <v>2261</v>
      </c>
      <c r="C815" s="1">
        <v>53.0</v>
      </c>
      <c r="D815" s="1">
        <v>479.0</v>
      </c>
      <c r="E815" s="1">
        <v>532.0</v>
      </c>
      <c r="F815" s="1" t="s">
        <v>2262</v>
      </c>
      <c r="G815" s="1" t="s">
        <v>2263</v>
      </c>
      <c r="H815" s="1" t="s">
        <v>190</v>
      </c>
      <c r="I815" s="1" t="s">
        <v>172</v>
      </c>
      <c r="J815" s="1" t="s">
        <v>2242</v>
      </c>
      <c r="K815" s="1" t="s">
        <v>1878</v>
      </c>
      <c r="L815" s="1"/>
      <c r="M815" s="1" t="s">
        <v>191</v>
      </c>
      <c r="N815" s="6">
        <f>IFERROR(__xludf.DUMMYFUNCTION("IF(REGEXMATCH(A815, ""^00-""), 0, IF(AND(EQ(F815, """"), EQ(G815, """")), 1, 0))"),0.0)</f>
        <v>0</v>
      </c>
      <c r="O815" s="6">
        <f>IFERROR(__xludf.DUMMYFUNCTION("IF(REGEXMATCH(A815, ""^00-""), 0, IF(AND(NE(F815, """"), EQ(G815, """")), 1, 0))"),0.0)</f>
        <v>0</v>
      </c>
      <c r="P815" s="6">
        <f>IFERROR(__xludf.DUMMYFUNCTION("IF(REGEXMATCH(A815, ""^00-""), 0, IF(AND(EQ(F815, """"), NE(G815, """")), 1, 0))"),0.0)</f>
        <v>0</v>
      </c>
      <c r="Q815" s="6">
        <f>IFERROR(__xludf.DUMMYFUNCTION("IF(REGEXMATCH(A815, ""^00-""), 0, IF(AND(NE(F815, """"), NE(G815, """")), 1, 0))"),1.0)</f>
        <v>1</v>
      </c>
      <c r="R815" s="6">
        <f t="shared" si="1"/>
        <v>1</v>
      </c>
    </row>
    <row r="816">
      <c r="A816" s="1" t="s">
        <v>124</v>
      </c>
      <c r="B816" s="1" t="s">
        <v>2264</v>
      </c>
      <c r="C816" s="1">
        <v>213.0</v>
      </c>
      <c r="D816" s="1">
        <v>319.0</v>
      </c>
      <c r="E816" s="1">
        <v>532.0</v>
      </c>
      <c r="F816" s="1" t="s">
        <v>2265</v>
      </c>
      <c r="G816" s="1" t="s">
        <v>2266</v>
      </c>
      <c r="H816" s="1" t="s">
        <v>190</v>
      </c>
      <c r="I816" s="1" t="s">
        <v>172</v>
      </c>
      <c r="J816" s="1" t="s">
        <v>2242</v>
      </c>
      <c r="K816" s="1" t="s">
        <v>1878</v>
      </c>
      <c r="L816" s="1"/>
      <c r="M816" s="1" t="s">
        <v>191</v>
      </c>
      <c r="N816" s="6">
        <f>IFERROR(__xludf.DUMMYFUNCTION("IF(REGEXMATCH(A816, ""^00-""), 0, IF(AND(EQ(F816, """"), EQ(G816, """")), 1, 0))"),0.0)</f>
        <v>0</v>
      </c>
      <c r="O816" s="6">
        <f>IFERROR(__xludf.DUMMYFUNCTION("IF(REGEXMATCH(A816, ""^00-""), 0, IF(AND(NE(F816, """"), EQ(G816, """")), 1, 0))"),0.0)</f>
        <v>0</v>
      </c>
      <c r="P816" s="6">
        <f>IFERROR(__xludf.DUMMYFUNCTION("IF(REGEXMATCH(A816, ""^00-""), 0, IF(AND(EQ(F816, """"), NE(G816, """")), 1, 0))"),0.0)</f>
        <v>0</v>
      </c>
      <c r="Q816" s="6">
        <f>IFERROR(__xludf.DUMMYFUNCTION("IF(REGEXMATCH(A816, ""^00-""), 0, IF(AND(NE(F816, """"), NE(G816, """")), 1, 0))"),1.0)</f>
        <v>1</v>
      </c>
      <c r="R816" s="6">
        <f t="shared" si="1"/>
        <v>1</v>
      </c>
    </row>
    <row r="817">
      <c r="A817" s="1" t="s">
        <v>124</v>
      </c>
      <c r="B817" s="1" t="s">
        <v>2267</v>
      </c>
      <c r="C817" s="1">
        <v>42.0</v>
      </c>
      <c r="D817" s="1">
        <v>490.0</v>
      </c>
      <c r="E817" s="1">
        <v>532.0</v>
      </c>
      <c r="F817" s="1" t="s">
        <v>2268</v>
      </c>
      <c r="G817" s="1" t="s">
        <v>2269</v>
      </c>
      <c r="H817" s="1" t="s">
        <v>250</v>
      </c>
      <c r="I817" s="1" t="s">
        <v>172</v>
      </c>
      <c r="J817" s="1" t="s">
        <v>2242</v>
      </c>
      <c r="K817" s="1" t="s">
        <v>1878</v>
      </c>
      <c r="L817" s="1"/>
      <c r="M817" s="1" t="s">
        <v>250</v>
      </c>
      <c r="N817" s="6">
        <f>IFERROR(__xludf.DUMMYFUNCTION("IF(REGEXMATCH(A817, ""^00-""), 0, IF(AND(EQ(F817, """"), EQ(G817, """")), 1, 0))"),0.0)</f>
        <v>0</v>
      </c>
      <c r="O817" s="6">
        <f>IFERROR(__xludf.DUMMYFUNCTION("IF(REGEXMATCH(A817, ""^00-""), 0, IF(AND(NE(F817, """"), EQ(G817, """")), 1, 0))"),0.0)</f>
        <v>0</v>
      </c>
      <c r="P817" s="6">
        <f>IFERROR(__xludf.DUMMYFUNCTION("IF(REGEXMATCH(A817, ""^00-""), 0, IF(AND(EQ(F817, """"), NE(G817, """")), 1, 0))"),0.0)</f>
        <v>0</v>
      </c>
      <c r="Q817" s="6">
        <f>IFERROR(__xludf.DUMMYFUNCTION("IF(REGEXMATCH(A817, ""^00-""), 0, IF(AND(NE(F817, """"), NE(G817, """")), 1, 0))"),1.0)</f>
        <v>1</v>
      </c>
      <c r="R817" s="6">
        <f t="shared" si="1"/>
        <v>1</v>
      </c>
    </row>
    <row r="818">
      <c r="A818" s="1" t="s">
        <v>124</v>
      </c>
      <c r="B818" s="1" t="s">
        <v>2270</v>
      </c>
      <c r="C818" s="1">
        <v>37.0</v>
      </c>
      <c r="D818" s="1">
        <v>495.0</v>
      </c>
      <c r="E818" s="1">
        <v>532.0</v>
      </c>
      <c r="F818" s="1" t="s">
        <v>2271</v>
      </c>
      <c r="G818" s="1" t="s">
        <v>2272</v>
      </c>
      <c r="H818" s="1" t="s">
        <v>254</v>
      </c>
      <c r="I818" s="1" t="s">
        <v>172</v>
      </c>
      <c r="J818" s="1" t="s">
        <v>2242</v>
      </c>
      <c r="K818" s="1" t="s">
        <v>1878</v>
      </c>
      <c r="L818" s="1"/>
      <c r="M818" s="1" t="s">
        <v>254</v>
      </c>
      <c r="N818" s="6">
        <f>IFERROR(__xludf.DUMMYFUNCTION("IF(REGEXMATCH(A818, ""^00-""), 0, IF(AND(EQ(F818, """"), EQ(G818, """")), 1, 0))"),0.0)</f>
        <v>0</v>
      </c>
      <c r="O818" s="6">
        <f>IFERROR(__xludf.DUMMYFUNCTION("IF(REGEXMATCH(A818, ""^00-""), 0, IF(AND(NE(F818, """"), EQ(G818, """")), 1, 0))"),0.0)</f>
        <v>0</v>
      </c>
      <c r="P818" s="6">
        <f>IFERROR(__xludf.DUMMYFUNCTION("IF(REGEXMATCH(A818, ""^00-""), 0, IF(AND(EQ(F818, """"), NE(G818, """")), 1, 0))"),0.0)</f>
        <v>0</v>
      </c>
      <c r="Q818" s="6">
        <f>IFERROR(__xludf.DUMMYFUNCTION("IF(REGEXMATCH(A818, ""^00-""), 0, IF(AND(NE(F818, """"), NE(G818, """")), 1, 0))"),1.0)</f>
        <v>1</v>
      </c>
      <c r="R818" s="6">
        <f t="shared" si="1"/>
        <v>1</v>
      </c>
    </row>
    <row r="819">
      <c r="A819" s="1" t="s">
        <v>127</v>
      </c>
      <c r="B819" s="1" t="s">
        <v>2273</v>
      </c>
      <c r="C819" s="1">
        <v>429.0</v>
      </c>
      <c r="D819" s="1">
        <v>38.0</v>
      </c>
      <c r="E819" s="1">
        <v>467.0</v>
      </c>
      <c r="F819" s="1" t="s">
        <v>2274</v>
      </c>
      <c r="G819" s="1" t="s">
        <v>2274</v>
      </c>
      <c r="H819" s="1" t="s">
        <v>250</v>
      </c>
      <c r="I819" s="1" t="s">
        <v>2275</v>
      </c>
      <c r="J819" s="1" t="s">
        <v>2276</v>
      </c>
      <c r="K819" s="1" t="s">
        <v>2277</v>
      </c>
      <c r="L819" s="1"/>
      <c r="M819" s="1" t="s">
        <v>250</v>
      </c>
      <c r="N819" s="6">
        <f>IFERROR(__xludf.DUMMYFUNCTION("IF(REGEXMATCH(A819, ""^00-""), 0, IF(AND(EQ(F819, """"), EQ(G819, """")), 1, 0))"),0.0)</f>
        <v>0</v>
      </c>
      <c r="O819" s="6">
        <f>IFERROR(__xludf.DUMMYFUNCTION("IF(REGEXMATCH(A819, ""^00-""), 0, IF(AND(NE(F819, """"), EQ(G819, """")), 1, 0))"),0.0)</f>
        <v>0</v>
      </c>
      <c r="P819" s="6">
        <f>IFERROR(__xludf.DUMMYFUNCTION("IF(REGEXMATCH(A819, ""^00-""), 0, IF(AND(EQ(F819, """"), NE(G819, """")), 1, 0))"),0.0)</f>
        <v>0</v>
      </c>
      <c r="Q819" s="6">
        <f>IFERROR(__xludf.DUMMYFUNCTION("IF(REGEXMATCH(A819, ""^00-""), 0, IF(AND(NE(F819, """"), NE(G819, """")), 1, 0))"),1.0)</f>
        <v>1</v>
      </c>
      <c r="R819" s="6">
        <f t="shared" si="1"/>
        <v>1</v>
      </c>
    </row>
    <row r="820">
      <c r="A820" s="1" t="s">
        <v>127</v>
      </c>
      <c r="B820" s="1" t="s">
        <v>2278</v>
      </c>
      <c r="C820" s="1">
        <v>430.0</v>
      </c>
      <c r="D820" s="1">
        <v>37.0</v>
      </c>
      <c r="E820" s="1">
        <v>467.0</v>
      </c>
      <c r="F820" s="1" t="s">
        <v>2279</v>
      </c>
      <c r="G820" s="1" t="s">
        <v>2279</v>
      </c>
      <c r="H820" s="1" t="s">
        <v>250</v>
      </c>
      <c r="I820" s="1" t="s">
        <v>2275</v>
      </c>
      <c r="J820" s="1" t="s">
        <v>2276</v>
      </c>
      <c r="K820" s="1" t="s">
        <v>2277</v>
      </c>
      <c r="L820" s="1"/>
      <c r="M820" s="1" t="s">
        <v>250</v>
      </c>
      <c r="N820" s="6">
        <f>IFERROR(__xludf.DUMMYFUNCTION("IF(REGEXMATCH(A820, ""^00-""), 0, IF(AND(EQ(F820, """"), EQ(G820, """")), 1, 0))"),0.0)</f>
        <v>0</v>
      </c>
      <c r="O820" s="6">
        <f>IFERROR(__xludf.DUMMYFUNCTION("IF(REGEXMATCH(A820, ""^00-""), 0, IF(AND(NE(F820, """"), EQ(G820, """")), 1, 0))"),0.0)</f>
        <v>0</v>
      </c>
      <c r="P820" s="6">
        <f>IFERROR(__xludf.DUMMYFUNCTION("IF(REGEXMATCH(A820, ""^00-""), 0, IF(AND(EQ(F820, """"), NE(G820, """")), 1, 0))"),0.0)</f>
        <v>0</v>
      </c>
      <c r="Q820" s="6">
        <f>IFERROR(__xludf.DUMMYFUNCTION("IF(REGEXMATCH(A820, ""^00-""), 0, IF(AND(NE(F820, """"), NE(G820, """")), 1, 0))"),1.0)</f>
        <v>1</v>
      </c>
      <c r="R820" s="6">
        <f t="shared" si="1"/>
        <v>1</v>
      </c>
    </row>
    <row r="821">
      <c r="A821" s="1" t="s">
        <v>127</v>
      </c>
      <c r="B821" s="1" t="s">
        <v>2280</v>
      </c>
      <c r="C821" s="1">
        <v>430.0</v>
      </c>
      <c r="D821" s="1">
        <v>37.0</v>
      </c>
      <c r="E821" s="1">
        <v>467.0</v>
      </c>
      <c r="F821" s="1" t="s">
        <v>2281</v>
      </c>
      <c r="G821" s="1" t="s">
        <v>2281</v>
      </c>
      <c r="H821" s="1" t="s">
        <v>182</v>
      </c>
      <c r="I821" s="1" t="s">
        <v>2275</v>
      </c>
      <c r="J821" s="1" t="s">
        <v>2276</v>
      </c>
      <c r="K821" s="1" t="s">
        <v>2277</v>
      </c>
      <c r="L821" s="1"/>
      <c r="M821" s="1" t="s">
        <v>185</v>
      </c>
      <c r="N821" s="6">
        <f>IFERROR(__xludf.DUMMYFUNCTION("IF(REGEXMATCH(A821, ""^00-""), 0, IF(AND(EQ(F821, """"), EQ(G821, """")), 1, 0))"),0.0)</f>
        <v>0</v>
      </c>
      <c r="O821" s="6">
        <f>IFERROR(__xludf.DUMMYFUNCTION("IF(REGEXMATCH(A821, ""^00-""), 0, IF(AND(NE(F821, """"), EQ(G821, """")), 1, 0))"),0.0)</f>
        <v>0</v>
      </c>
      <c r="P821" s="6">
        <f>IFERROR(__xludf.DUMMYFUNCTION("IF(REGEXMATCH(A821, ""^00-""), 0, IF(AND(EQ(F821, """"), NE(G821, """")), 1, 0))"),0.0)</f>
        <v>0</v>
      </c>
      <c r="Q821" s="6">
        <f>IFERROR(__xludf.DUMMYFUNCTION("IF(REGEXMATCH(A821, ""^00-""), 0, IF(AND(NE(F821, """"), NE(G821, """")), 1, 0))"),1.0)</f>
        <v>1</v>
      </c>
      <c r="R821" s="6">
        <f t="shared" si="1"/>
        <v>1</v>
      </c>
    </row>
    <row r="822">
      <c r="A822" s="1" t="s">
        <v>127</v>
      </c>
      <c r="B822" s="1" t="s">
        <v>2282</v>
      </c>
      <c r="C822" s="1">
        <v>426.0</v>
      </c>
      <c r="D822" s="1">
        <v>41.0</v>
      </c>
      <c r="E822" s="1">
        <v>467.0</v>
      </c>
      <c r="F822" s="1" t="s">
        <v>2283</v>
      </c>
      <c r="G822" s="1" t="s">
        <v>2283</v>
      </c>
      <c r="H822" s="1" t="s">
        <v>182</v>
      </c>
      <c r="I822" s="1" t="s">
        <v>2275</v>
      </c>
      <c r="J822" s="1" t="s">
        <v>2276</v>
      </c>
      <c r="K822" s="1" t="s">
        <v>2277</v>
      </c>
      <c r="L822" s="1"/>
      <c r="M822" s="1" t="s">
        <v>185</v>
      </c>
      <c r="N822" s="6">
        <f>IFERROR(__xludf.DUMMYFUNCTION("IF(REGEXMATCH(A822, ""^00-""), 0, IF(AND(EQ(F822, """"), EQ(G822, """")), 1, 0))"),0.0)</f>
        <v>0</v>
      </c>
      <c r="O822" s="6">
        <f>IFERROR(__xludf.DUMMYFUNCTION("IF(REGEXMATCH(A822, ""^00-""), 0, IF(AND(NE(F822, """"), EQ(G822, """")), 1, 0))"),0.0)</f>
        <v>0</v>
      </c>
      <c r="P822" s="6">
        <f>IFERROR(__xludf.DUMMYFUNCTION("IF(REGEXMATCH(A822, ""^00-""), 0, IF(AND(EQ(F822, """"), NE(G822, """")), 1, 0))"),0.0)</f>
        <v>0</v>
      </c>
      <c r="Q822" s="6">
        <f>IFERROR(__xludf.DUMMYFUNCTION("IF(REGEXMATCH(A822, ""^00-""), 0, IF(AND(NE(F822, """"), NE(G822, """")), 1, 0))"),1.0)</f>
        <v>1</v>
      </c>
      <c r="R822" s="6">
        <f t="shared" si="1"/>
        <v>1</v>
      </c>
    </row>
    <row r="823">
      <c r="A823" s="1" t="s">
        <v>127</v>
      </c>
      <c r="B823" s="1" t="s">
        <v>2284</v>
      </c>
      <c r="C823" s="1">
        <v>430.0</v>
      </c>
      <c r="D823" s="1">
        <v>37.0</v>
      </c>
      <c r="E823" s="1">
        <v>467.0</v>
      </c>
      <c r="F823" s="1" t="s">
        <v>2285</v>
      </c>
      <c r="G823" s="1" t="s">
        <v>2285</v>
      </c>
      <c r="H823" s="1" t="s">
        <v>190</v>
      </c>
      <c r="I823" s="1" t="s">
        <v>2275</v>
      </c>
      <c r="J823" s="1" t="s">
        <v>2276</v>
      </c>
      <c r="K823" s="1" t="s">
        <v>2277</v>
      </c>
      <c r="L823" s="1"/>
      <c r="M823" s="1" t="s">
        <v>191</v>
      </c>
      <c r="N823" s="6">
        <f>IFERROR(__xludf.DUMMYFUNCTION("IF(REGEXMATCH(A823, ""^00-""), 0, IF(AND(EQ(F823, """"), EQ(G823, """")), 1, 0))"),0.0)</f>
        <v>0</v>
      </c>
      <c r="O823" s="6">
        <f>IFERROR(__xludf.DUMMYFUNCTION("IF(REGEXMATCH(A823, ""^00-""), 0, IF(AND(NE(F823, """"), EQ(G823, """")), 1, 0))"),0.0)</f>
        <v>0</v>
      </c>
      <c r="P823" s="6">
        <f>IFERROR(__xludf.DUMMYFUNCTION("IF(REGEXMATCH(A823, ""^00-""), 0, IF(AND(EQ(F823, """"), NE(G823, """")), 1, 0))"),0.0)</f>
        <v>0</v>
      </c>
      <c r="Q823" s="6">
        <f>IFERROR(__xludf.DUMMYFUNCTION("IF(REGEXMATCH(A823, ""^00-""), 0, IF(AND(NE(F823, """"), NE(G823, """")), 1, 0))"),1.0)</f>
        <v>1</v>
      </c>
      <c r="R823" s="6">
        <f t="shared" si="1"/>
        <v>1</v>
      </c>
    </row>
    <row r="824">
      <c r="A824" s="1" t="s">
        <v>127</v>
      </c>
      <c r="B824" s="1" t="s">
        <v>2286</v>
      </c>
      <c r="C824" s="1">
        <v>430.0</v>
      </c>
      <c r="D824" s="1">
        <v>37.0</v>
      </c>
      <c r="E824" s="1">
        <v>467.0</v>
      </c>
      <c r="F824" s="1" t="s">
        <v>2287</v>
      </c>
      <c r="G824" s="1" t="s">
        <v>2287</v>
      </c>
      <c r="H824" s="1" t="s">
        <v>235</v>
      </c>
      <c r="I824" s="1" t="s">
        <v>2275</v>
      </c>
      <c r="J824" s="1" t="s">
        <v>2276</v>
      </c>
      <c r="K824" s="1" t="s">
        <v>2277</v>
      </c>
      <c r="L824" s="1"/>
      <c r="M824" s="1" t="s">
        <v>2288</v>
      </c>
      <c r="N824" s="6">
        <f>IFERROR(__xludf.DUMMYFUNCTION("IF(REGEXMATCH(A824, ""^00-""), 0, IF(AND(EQ(F824, """"), EQ(G824, """")), 1, 0))"),0.0)</f>
        <v>0</v>
      </c>
      <c r="O824" s="6">
        <f>IFERROR(__xludf.DUMMYFUNCTION("IF(REGEXMATCH(A824, ""^00-""), 0, IF(AND(NE(F824, """"), EQ(G824, """")), 1, 0))"),0.0)</f>
        <v>0</v>
      </c>
      <c r="P824" s="6">
        <f>IFERROR(__xludf.DUMMYFUNCTION("IF(REGEXMATCH(A824, ""^00-""), 0, IF(AND(EQ(F824, """"), NE(G824, """")), 1, 0))"),0.0)</f>
        <v>0</v>
      </c>
      <c r="Q824" s="6">
        <f>IFERROR(__xludf.DUMMYFUNCTION("IF(REGEXMATCH(A824, ""^00-""), 0, IF(AND(NE(F824, """"), NE(G824, """")), 1, 0))"),1.0)</f>
        <v>1</v>
      </c>
      <c r="R824" s="6">
        <f t="shared" si="1"/>
        <v>1</v>
      </c>
    </row>
    <row r="825">
      <c r="A825" s="1" t="s">
        <v>127</v>
      </c>
      <c r="B825" s="1" t="s">
        <v>2289</v>
      </c>
      <c r="C825" s="1">
        <v>383.0</v>
      </c>
      <c r="D825" s="1">
        <v>84.0</v>
      </c>
      <c r="E825" s="1">
        <v>467.0</v>
      </c>
      <c r="F825" s="1" t="s">
        <v>2290</v>
      </c>
      <c r="G825" s="1" t="s">
        <v>2290</v>
      </c>
      <c r="H825" s="1" t="s">
        <v>235</v>
      </c>
      <c r="I825" s="1" t="s">
        <v>2275</v>
      </c>
      <c r="J825" s="1" t="s">
        <v>2276</v>
      </c>
      <c r="K825" s="1" t="s">
        <v>2277</v>
      </c>
      <c r="L825" s="1"/>
      <c r="M825" s="1" t="s">
        <v>2288</v>
      </c>
      <c r="N825" s="6">
        <f>IFERROR(__xludf.DUMMYFUNCTION("IF(REGEXMATCH(A825, ""^00-""), 0, IF(AND(EQ(F825, """"), EQ(G825, """")), 1, 0))"),0.0)</f>
        <v>0</v>
      </c>
      <c r="O825" s="6">
        <f>IFERROR(__xludf.DUMMYFUNCTION("IF(REGEXMATCH(A825, ""^00-""), 0, IF(AND(NE(F825, """"), EQ(G825, """")), 1, 0))"),0.0)</f>
        <v>0</v>
      </c>
      <c r="P825" s="6">
        <f>IFERROR(__xludf.DUMMYFUNCTION("IF(REGEXMATCH(A825, ""^00-""), 0, IF(AND(EQ(F825, """"), NE(G825, """")), 1, 0))"),0.0)</f>
        <v>0</v>
      </c>
      <c r="Q825" s="6">
        <f>IFERROR(__xludf.DUMMYFUNCTION("IF(REGEXMATCH(A825, ""^00-""), 0, IF(AND(NE(F825, """"), NE(G825, """")), 1, 0))"),1.0)</f>
        <v>1</v>
      </c>
      <c r="R825" s="6">
        <f t="shared" si="1"/>
        <v>1</v>
      </c>
    </row>
    <row r="826">
      <c r="A826" s="1" t="s">
        <v>127</v>
      </c>
      <c r="B826" s="1" t="s">
        <v>2291</v>
      </c>
      <c r="C826" s="1">
        <v>430.0</v>
      </c>
      <c r="D826" s="1">
        <v>37.0</v>
      </c>
      <c r="E826" s="1">
        <v>467.0</v>
      </c>
      <c r="F826" s="1" t="s">
        <v>2292</v>
      </c>
      <c r="G826" s="1" t="s">
        <v>2292</v>
      </c>
      <c r="H826" s="1" t="s">
        <v>235</v>
      </c>
      <c r="I826" s="1" t="s">
        <v>2275</v>
      </c>
      <c r="J826" s="1" t="s">
        <v>2276</v>
      </c>
      <c r="K826" s="1" t="s">
        <v>2277</v>
      </c>
      <c r="L826" s="1"/>
      <c r="M826" s="1" t="s">
        <v>298</v>
      </c>
      <c r="N826" s="6">
        <f>IFERROR(__xludf.DUMMYFUNCTION("IF(REGEXMATCH(A826, ""^00-""), 0, IF(AND(EQ(F826, """"), EQ(G826, """")), 1, 0))"),0.0)</f>
        <v>0</v>
      </c>
      <c r="O826" s="6">
        <f>IFERROR(__xludf.DUMMYFUNCTION("IF(REGEXMATCH(A826, ""^00-""), 0, IF(AND(NE(F826, """"), EQ(G826, """")), 1, 0))"),0.0)</f>
        <v>0</v>
      </c>
      <c r="P826" s="6">
        <f>IFERROR(__xludf.DUMMYFUNCTION("IF(REGEXMATCH(A826, ""^00-""), 0, IF(AND(EQ(F826, """"), NE(G826, """")), 1, 0))"),0.0)</f>
        <v>0</v>
      </c>
      <c r="Q826" s="6">
        <f>IFERROR(__xludf.DUMMYFUNCTION("IF(REGEXMATCH(A826, ""^00-""), 0, IF(AND(NE(F826, """"), NE(G826, """")), 1, 0))"),1.0)</f>
        <v>1</v>
      </c>
      <c r="R826" s="6">
        <f t="shared" si="1"/>
        <v>1</v>
      </c>
    </row>
    <row r="827">
      <c r="A827" s="1" t="s">
        <v>127</v>
      </c>
      <c r="B827" s="1" t="s">
        <v>2293</v>
      </c>
      <c r="C827" s="1">
        <v>430.0</v>
      </c>
      <c r="D827" s="1">
        <v>37.0</v>
      </c>
      <c r="E827" s="1">
        <v>467.0</v>
      </c>
      <c r="F827" s="1" t="s">
        <v>2294</v>
      </c>
      <c r="G827" s="1" t="s">
        <v>2294</v>
      </c>
      <c r="H827" s="1" t="s">
        <v>235</v>
      </c>
      <c r="I827" s="1" t="s">
        <v>2275</v>
      </c>
      <c r="J827" s="1" t="s">
        <v>2276</v>
      </c>
      <c r="K827" s="1" t="s">
        <v>2277</v>
      </c>
      <c r="L827" s="1"/>
      <c r="M827" s="1" t="s">
        <v>2295</v>
      </c>
      <c r="N827" s="6">
        <f>IFERROR(__xludf.DUMMYFUNCTION("IF(REGEXMATCH(A827, ""^00-""), 0, IF(AND(EQ(F827, """"), EQ(G827, """")), 1, 0))"),0.0)</f>
        <v>0</v>
      </c>
      <c r="O827" s="6">
        <f>IFERROR(__xludf.DUMMYFUNCTION("IF(REGEXMATCH(A827, ""^00-""), 0, IF(AND(NE(F827, """"), EQ(G827, """")), 1, 0))"),0.0)</f>
        <v>0</v>
      </c>
      <c r="P827" s="6">
        <f>IFERROR(__xludf.DUMMYFUNCTION("IF(REGEXMATCH(A827, ""^00-""), 0, IF(AND(EQ(F827, """"), NE(G827, """")), 1, 0))"),0.0)</f>
        <v>0</v>
      </c>
      <c r="Q827" s="6">
        <f>IFERROR(__xludf.DUMMYFUNCTION("IF(REGEXMATCH(A827, ""^00-""), 0, IF(AND(NE(F827, """"), NE(G827, """")), 1, 0))"),1.0)</f>
        <v>1</v>
      </c>
      <c r="R827" s="6">
        <f t="shared" si="1"/>
        <v>1</v>
      </c>
    </row>
    <row r="828">
      <c r="A828" s="1" t="s">
        <v>127</v>
      </c>
      <c r="B828" s="1" t="s">
        <v>2296</v>
      </c>
      <c r="C828" s="1">
        <v>430.0</v>
      </c>
      <c r="D828" s="1">
        <v>37.0</v>
      </c>
      <c r="E828" s="1">
        <v>467.0</v>
      </c>
      <c r="F828" s="1" t="s">
        <v>2297</v>
      </c>
      <c r="G828" s="1" t="s">
        <v>2297</v>
      </c>
      <c r="H828" s="1" t="s">
        <v>182</v>
      </c>
      <c r="I828" s="1" t="s">
        <v>2275</v>
      </c>
      <c r="J828" s="1" t="s">
        <v>2276</v>
      </c>
      <c r="K828" s="1" t="s">
        <v>2277</v>
      </c>
      <c r="L828" s="1"/>
      <c r="M828" s="1" t="s">
        <v>185</v>
      </c>
      <c r="N828" s="6">
        <f>IFERROR(__xludf.DUMMYFUNCTION("IF(REGEXMATCH(A828, ""^00-""), 0, IF(AND(EQ(F828, """"), EQ(G828, """")), 1, 0))"),0.0)</f>
        <v>0</v>
      </c>
      <c r="O828" s="6">
        <f>IFERROR(__xludf.DUMMYFUNCTION("IF(REGEXMATCH(A828, ""^00-""), 0, IF(AND(NE(F828, """"), EQ(G828, """")), 1, 0))"),0.0)</f>
        <v>0</v>
      </c>
      <c r="P828" s="6">
        <f>IFERROR(__xludf.DUMMYFUNCTION("IF(REGEXMATCH(A828, ""^00-""), 0, IF(AND(EQ(F828, """"), NE(G828, """")), 1, 0))"),0.0)</f>
        <v>0</v>
      </c>
      <c r="Q828" s="6">
        <f>IFERROR(__xludf.DUMMYFUNCTION("IF(REGEXMATCH(A828, ""^00-""), 0, IF(AND(NE(F828, """"), NE(G828, """")), 1, 0))"),1.0)</f>
        <v>1</v>
      </c>
      <c r="R828" s="6">
        <f t="shared" si="1"/>
        <v>1</v>
      </c>
    </row>
    <row r="829">
      <c r="A829" s="1" t="s">
        <v>127</v>
      </c>
      <c r="B829" s="1" t="s">
        <v>2298</v>
      </c>
      <c r="C829" s="1">
        <v>430.0</v>
      </c>
      <c r="D829" s="1">
        <v>37.0</v>
      </c>
      <c r="E829" s="1">
        <v>467.0</v>
      </c>
      <c r="F829" s="1" t="s">
        <v>2299</v>
      </c>
      <c r="G829" s="1" t="s">
        <v>2299</v>
      </c>
      <c r="H829" s="1" t="s">
        <v>190</v>
      </c>
      <c r="I829" s="1" t="s">
        <v>2275</v>
      </c>
      <c r="J829" s="1" t="s">
        <v>2276</v>
      </c>
      <c r="K829" s="1" t="s">
        <v>2277</v>
      </c>
      <c r="L829" s="1"/>
      <c r="M829" s="1" t="s">
        <v>191</v>
      </c>
      <c r="N829" s="6">
        <f>IFERROR(__xludf.DUMMYFUNCTION("IF(REGEXMATCH(A829, ""^00-""), 0, IF(AND(EQ(F829, """"), EQ(G829, """")), 1, 0))"),0.0)</f>
        <v>0</v>
      </c>
      <c r="O829" s="6">
        <f>IFERROR(__xludf.DUMMYFUNCTION("IF(REGEXMATCH(A829, ""^00-""), 0, IF(AND(NE(F829, """"), EQ(G829, """")), 1, 0))"),0.0)</f>
        <v>0</v>
      </c>
      <c r="P829" s="6">
        <f>IFERROR(__xludf.DUMMYFUNCTION("IF(REGEXMATCH(A829, ""^00-""), 0, IF(AND(EQ(F829, """"), NE(G829, """")), 1, 0))"),0.0)</f>
        <v>0</v>
      </c>
      <c r="Q829" s="6">
        <f>IFERROR(__xludf.DUMMYFUNCTION("IF(REGEXMATCH(A829, ""^00-""), 0, IF(AND(NE(F829, """"), NE(G829, """")), 1, 0))"),1.0)</f>
        <v>1</v>
      </c>
      <c r="R829" s="6">
        <f t="shared" si="1"/>
        <v>1</v>
      </c>
    </row>
    <row r="830">
      <c r="A830" s="1" t="s">
        <v>127</v>
      </c>
      <c r="B830" s="1" t="s">
        <v>2300</v>
      </c>
      <c r="C830" s="1">
        <v>429.0</v>
      </c>
      <c r="D830" s="1">
        <v>38.0</v>
      </c>
      <c r="E830" s="1">
        <v>467.0</v>
      </c>
      <c r="F830" s="1" t="s">
        <v>2301</v>
      </c>
      <c r="G830" s="1" t="s">
        <v>2301</v>
      </c>
      <c r="H830" s="1" t="s">
        <v>269</v>
      </c>
      <c r="I830" s="1" t="s">
        <v>2275</v>
      </c>
      <c r="J830" s="1" t="s">
        <v>2276</v>
      </c>
      <c r="K830" s="1" t="s">
        <v>2277</v>
      </c>
      <c r="L830" s="1"/>
      <c r="M830" s="1" t="s">
        <v>302</v>
      </c>
      <c r="N830" s="6">
        <f>IFERROR(__xludf.DUMMYFUNCTION("IF(REGEXMATCH(A830, ""^00-""), 0, IF(AND(EQ(F830, """"), EQ(G830, """")), 1, 0))"),0.0)</f>
        <v>0</v>
      </c>
      <c r="O830" s="6">
        <f>IFERROR(__xludf.DUMMYFUNCTION("IF(REGEXMATCH(A830, ""^00-""), 0, IF(AND(NE(F830, """"), EQ(G830, """")), 1, 0))"),0.0)</f>
        <v>0</v>
      </c>
      <c r="P830" s="6">
        <f>IFERROR(__xludf.DUMMYFUNCTION("IF(REGEXMATCH(A830, ""^00-""), 0, IF(AND(EQ(F830, """"), NE(G830, """")), 1, 0))"),0.0)</f>
        <v>0</v>
      </c>
      <c r="Q830" s="6">
        <f>IFERROR(__xludf.DUMMYFUNCTION("IF(REGEXMATCH(A830, ""^00-""), 0, IF(AND(NE(F830, """"), NE(G830, """")), 1, 0))"),1.0)</f>
        <v>1</v>
      </c>
      <c r="R830" s="6">
        <f t="shared" si="1"/>
        <v>1</v>
      </c>
    </row>
    <row r="831">
      <c r="A831" s="1" t="s">
        <v>127</v>
      </c>
      <c r="B831" s="1" t="s">
        <v>2302</v>
      </c>
      <c r="C831" s="1">
        <v>381.0</v>
      </c>
      <c r="D831" s="1">
        <v>86.0</v>
      </c>
      <c r="E831" s="1">
        <v>467.0</v>
      </c>
      <c r="F831" s="1" t="s">
        <v>2303</v>
      </c>
      <c r="G831" s="1" t="s">
        <v>2303</v>
      </c>
      <c r="H831" s="1" t="s">
        <v>269</v>
      </c>
      <c r="I831" s="1" t="s">
        <v>2275</v>
      </c>
      <c r="J831" s="1" t="s">
        <v>2276</v>
      </c>
      <c r="K831" s="1" t="s">
        <v>2277</v>
      </c>
      <c r="L831" s="1"/>
      <c r="M831" s="1" t="s">
        <v>302</v>
      </c>
      <c r="N831" s="6">
        <f>IFERROR(__xludf.DUMMYFUNCTION("IF(REGEXMATCH(A831, ""^00-""), 0, IF(AND(EQ(F831, """"), EQ(G831, """")), 1, 0))"),0.0)</f>
        <v>0</v>
      </c>
      <c r="O831" s="6">
        <f>IFERROR(__xludf.DUMMYFUNCTION("IF(REGEXMATCH(A831, ""^00-""), 0, IF(AND(NE(F831, """"), EQ(G831, """")), 1, 0))"),0.0)</f>
        <v>0</v>
      </c>
      <c r="P831" s="6">
        <f>IFERROR(__xludf.DUMMYFUNCTION("IF(REGEXMATCH(A831, ""^00-""), 0, IF(AND(EQ(F831, """"), NE(G831, """")), 1, 0))"),0.0)</f>
        <v>0</v>
      </c>
      <c r="Q831" s="6">
        <f>IFERROR(__xludf.DUMMYFUNCTION("IF(REGEXMATCH(A831, ""^00-""), 0, IF(AND(NE(F831, """"), NE(G831, """")), 1, 0))"),1.0)</f>
        <v>1</v>
      </c>
      <c r="R831" s="6">
        <f t="shared" si="1"/>
        <v>1</v>
      </c>
    </row>
    <row r="832">
      <c r="A832" s="1" t="s">
        <v>127</v>
      </c>
      <c r="B832" s="1" t="s">
        <v>2304</v>
      </c>
      <c r="C832" s="1">
        <v>429.0</v>
      </c>
      <c r="D832" s="1">
        <v>38.0</v>
      </c>
      <c r="E832" s="1">
        <v>467.0</v>
      </c>
      <c r="F832" s="1" t="s">
        <v>2305</v>
      </c>
      <c r="G832" s="1" t="s">
        <v>2305</v>
      </c>
      <c r="H832" s="1" t="s">
        <v>190</v>
      </c>
      <c r="I832" s="1" t="s">
        <v>2275</v>
      </c>
      <c r="J832" s="1" t="s">
        <v>2276</v>
      </c>
      <c r="K832" s="1" t="s">
        <v>2277</v>
      </c>
      <c r="L832" s="1"/>
      <c r="M832" s="1" t="s">
        <v>191</v>
      </c>
      <c r="N832" s="6">
        <f>IFERROR(__xludf.DUMMYFUNCTION("IF(REGEXMATCH(A832, ""^00-""), 0, IF(AND(EQ(F832, """"), EQ(G832, """")), 1, 0))"),0.0)</f>
        <v>0</v>
      </c>
      <c r="O832" s="6">
        <f>IFERROR(__xludf.DUMMYFUNCTION("IF(REGEXMATCH(A832, ""^00-""), 0, IF(AND(NE(F832, """"), EQ(G832, """")), 1, 0))"),0.0)</f>
        <v>0</v>
      </c>
      <c r="P832" s="6">
        <f>IFERROR(__xludf.DUMMYFUNCTION("IF(REGEXMATCH(A832, ""^00-""), 0, IF(AND(EQ(F832, """"), NE(G832, """")), 1, 0))"),0.0)</f>
        <v>0</v>
      </c>
      <c r="Q832" s="6">
        <f>IFERROR(__xludf.DUMMYFUNCTION("IF(REGEXMATCH(A832, ""^00-""), 0, IF(AND(NE(F832, """"), NE(G832, """")), 1, 0))"),1.0)</f>
        <v>1</v>
      </c>
      <c r="R832" s="6">
        <f t="shared" si="1"/>
        <v>1</v>
      </c>
    </row>
    <row r="833">
      <c r="A833" s="1" t="s">
        <v>127</v>
      </c>
      <c r="B833" s="1" t="s">
        <v>2306</v>
      </c>
      <c r="C833" s="1">
        <v>380.0</v>
      </c>
      <c r="D833" s="1">
        <v>87.0</v>
      </c>
      <c r="E833" s="1">
        <v>467.0</v>
      </c>
      <c r="F833" s="1" t="s">
        <v>2307</v>
      </c>
      <c r="G833" s="1" t="s">
        <v>2307</v>
      </c>
      <c r="H833" s="1" t="s">
        <v>190</v>
      </c>
      <c r="I833" s="1" t="s">
        <v>2275</v>
      </c>
      <c r="J833" s="1" t="s">
        <v>2276</v>
      </c>
      <c r="K833" s="1" t="s">
        <v>2277</v>
      </c>
      <c r="L833" s="1"/>
      <c r="M833" s="1" t="s">
        <v>191</v>
      </c>
      <c r="N833" s="6">
        <f>IFERROR(__xludf.DUMMYFUNCTION("IF(REGEXMATCH(A833, ""^00-""), 0, IF(AND(EQ(F833, """"), EQ(G833, """")), 1, 0))"),0.0)</f>
        <v>0</v>
      </c>
      <c r="O833" s="6">
        <f>IFERROR(__xludf.DUMMYFUNCTION("IF(REGEXMATCH(A833, ""^00-""), 0, IF(AND(NE(F833, """"), EQ(G833, """")), 1, 0))"),0.0)</f>
        <v>0</v>
      </c>
      <c r="P833" s="6">
        <f>IFERROR(__xludf.DUMMYFUNCTION("IF(REGEXMATCH(A833, ""^00-""), 0, IF(AND(EQ(F833, """"), NE(G833, """")), 1, 0))"),0.0)</f>
        <v>0</v>
      </c>
      <c r="Q833" s="6">
        <f>IFERROR(__xludf.DUMMYFUNCTION("IF(REGEXMATCH(A833, ""^00-""), 0, IF(AND(NE(F833, """"), NE(G833, """")), 1, 0))"),1.0)</f>
        <v>1</v>
      </c>
      <c r="R833" s="6">
        <f t="shared" si="1"/>
        <v>1</v>
      </c>
    </row>
    <row r="834">
      <c r="A834" s="1" t="s">
        <v>127</v>
      </c>
      <c r="B834" s="1" t="s">
        <v>2308</v>
      </c>
      <c r="C834" s="1">
        <v>428.0</v>
      </c>
      <c r="D834" s="1">
        <v>39.0</v>
      </c>
      <c r="E834" s="1">
        <v>467.0</v>
      </c>
      <c r="F834" s="1" t="s">
        <v>2309</v>
      </c>
      <c r="G834" s="1" t="s">
        <v>2309</v>
      </c>
      <c r="H834" s="1" t="s">
        <v>190</v>
      </c>
      <c r="I834" s="1" t="s">
        <v>2275</v>
      </c>
      <c r="J834" s="1" t="s">
        <v>2276</v>
      </c>
      <c r="K834" s="1" t="s">
        <v>2277</v>
      </c>
      <c r="L834" s="1"/>
      <c r="M834" s="1" t="s">
        <v>191</v>
      </c>
      <c r="N834" s="6">
        <f>IFERROR(__xludf.DUMMYFUNCTION("IF(REGEXMATCH(A834, ""^00-""), 0, IF(AND(EQ(F834, """"), EQ(G834, """")), 1, 0))"),0.0)</f>
        <v>0</v>
      </c>
      <c r="O834" s="6">
        <f>IFERROR(__xludf.DUMMYFUNCTION("IF(REGEXMATCH(A834, ""^00-""), 0, IF(AND(NE(F834, """"), EQ(G834, """")), 1, 0))"),0.0)</f>
        <v>0</v>
      </c>
      <c r="P834" s="6">
        <f>IFERROR(__xludf.DUMMYFUNCTION("IF(REGEXMATCH(A834, ""^00-""), 0, IF(AND(EQ(F834, """"), NE(G834, """")), 1, 0))"),0.0)</f>
        <v>0</v>
      </c>
      <c r="Q834" s="6">
        <f>IFERROR(__xludf.DUMMYFUNCTION("IF(REGEXMATCH(A834, ""^00-""), 0, IF(AND(NE(F834, """"), NE(G834, """")), 1, 0))"),1.0)</f>
        <v>1</v>
      </c>
      <c r="R834" s="6">
        <f t="shared" si="1"/>
        <v>1</v>
      </c>
    </row>
    <row r="835">
      <c r="A835" s="1" t="s">
        <v>127</v>
      </c>
      <c r="B835" s="1" t="s">
        <v>2310</v>
      </c>
      <c r="C835" s="1">
        <v>379.0</v>
      </c>
      <c r="D835" s="1">
        <v>88.0</v>
      </c>
      <c r="E835" s="1">
        <v>467.0</v>
      </c>
      <c r="F835" s="1" t="s">
        <v>2311</v>
      </c>
      <c r="G835" s="1" t="s">
        <v>2311</v>
      </c>
      <c r="H835" s="1" t="s">
        <v>190</v>
      </c>
      <c r="I835" s="1" t="s">
        <v>2275</v>
      </c>
      <c r="J835" s="1" t="s">
        <v>2276</v>
      </c>
      <c r="K835" s="1" t="s">
        <v>2277</v>
      </c>
      <c r="L835" s="1"/>
      <c r="M835" s="1" t="s">
        <v>191</v>
      </c>
      <c r="N835" s="6">
        <f>IFERROR(__xludf.DUMMYFUNCTION("IF(REGEXMATCH(A835, ""^00-""), 0, IF(AND(EQ(F835, """"), EQ(G835, """")), 1, 0))"),0.0)</f>
        <v>0</v>
      </c>
      <c r="O835" s="6">
        <f>IFERROR(__xludf.DUMMYFUNCTION("IF(REGEXMATCH(A835, ""^00-""), 0, IF(AND(NE(F835, """"), EQ(G835, """")), 1, 0))"),0.0)</f>
        <v>0</v>
      </c>
      <c r="P835" s="6">
        <f>IFERROR(__xludf.DUMMYFUNCTION("IF(REGEXMATCH(A835, ""^00-""), 0, IF(AND(EQ(F835, """"), NE(G835, """")), 1, 0))"),0.0)</f>
        <v>0</v>
      </c>
      <c r="Q835" s="6">
        <f>IFERROR(__xludf.DUMMYFUNCTION("IF(REGEXMATCH(A835, ""^00-""), 0, IF(AND(NE(F835, """"), NE(G835, """")), 1, 0))"),1.0)</f>
        <v>1</v>
      </c>
      <c r="R835" s="6">
        <f t="shared" si="1"/>
        <v>1</v>
      </c>
    </row>
    <row r="836">
      <c r="A836" s="1" t="s">
        <v>127</v>
      </c>
      <c r="B836" s="1" t="s">
        <v>2312</v>
      </c>
      <c r="C836" s="1">
        <v>132.0</v>
      </c>
      <c r="D836" s="1">
        <v>335.0</v>
      </c>
      <c r="E836" s="1">
        <v>467.0</v>
      </c>
      <c r="F836" s="1" t="s">
        <v>2313</v>
      </c>
      <c r="G836" s="1"/>
      <c r="H836" s="1" t="s">
        <v>269</v>
      </c>
      <c r="I836" s="1" t="s">
        <v>2275</v>
      </c>
      <c r="J836" s="1" t="s">
        <v>2276</v>
      </c>
      <c r="K836" s="1" t="s">
        <v>2277</v>
      </c>
      <c r="L836" s="1"/>
      <c r="M836" s="1" t="s">
        <v>2314</v>
      </c>
      <c r="N836" s="6">
        <f>IFERROR(__xludf.DUMMYFUNCTION("IF(REGEXMATCH(A836, ""^00-""), 0, IF(AND(EQ(F836, """"), EQ(G836, """")), 1, 0))"),0.0)</f>
        <v>0</v>
      </c>
      <c r="O836" s="6">
        <f>IFERROR(__xludf.DUMMYFUNCTION("IF(REGEXMATCH(A836, ""^00-""), 0, IF(AND(NE(F836, """"), EQ(G836, """")), 1, 0))"),1.0)</f>
        <v>1</v>
      </c>
      <c r="P836" s="6">
        <f>IFERROR(__xludf.DUMMYFUNCTION("IF(REGEXMATCH(A836, ""^00-""), 0, IF(AND(EQ(F836, """"), NE(G836, """")), 1, 0))"),0.0)</f>
        <v>0</v>
      </c>
      <c r="Q836" s="6">
        <f>IFERROR(__xludf.DUMMYFUNCTION("IF(REGEXMATCH(A836, ""^00-""), 0, IF(AND(NE(F836, """"), NE(G836, """")), 1, 0))"),0.0)</f>
        <v>0</v>
      </c>
      <c r="R836" s="6">
        <f t="shared" si="1"/>
        <v>1</v>
      </c>
    </row>
    <row r="837">
      <c r="A837" s="1" t="s">
        <v>127</v>
      </c>
      <c r="B837" s="1" t="s">
        <v>2315</v>
      </c>
      <c r="C837" s="1">
        <v>189.0</v>
      </c>
      <c r="D837" s="1">
        <v>278.0</v>
      </c>
      <c r="E837" s="1">
        <v>467.0</v>
      </c>
      <c r="F837" s="1" t="s">
        <v>2316</v>
      </c>
      <c r="G837" s="1" t="s">
        <v>2316</v>
      </c>
      <c r="H837" s="1" t="s">
        <v>269</v>
      </c>
      <c r="I837" s="1" t="s">
        <v>2275</v>
      </c>
      <c r="J837" s="1" t="s">
        <v>2276</v>
      </c>
      <c r="K837" s="1" t="s">
        <v>2277</v>
      </c>
      <c r="L837" s="1"/>
      <c r="M837" s="1" t="s">
        <v>305</v>
      </c>
      <c r="N837" s="6">
        <f>IFERROR(__xludf.DUMMYFUNCTION("IF(REGEXMATCH(A837, ""^00-""), 0, IF(AND(EQ(F837, """"), EQ(G837, """")), 1, 0))"),0.0)</f>
        <v>0</v>
      </c>
      <c r="O837" s="6">
        <f>IFERROR(__xludf.DUMMYFUNCTION("IF(REGEXMATCH(A837, ""^00-""), 0, IF(AND(NE(F837, """"), EQ(G837, """")), 1, 0))"),0.0)</f>
        <v>0</v>
      </c>
      <c r="P837" s="6">
        <f>IFERROR(__xludf.DUMMYFUNCTION("IF(REGEXMATCH(A837, ""^00-""), 0, IF(AND(EQ(F837, """"), NE(G837, """")), 1, 0))"),0.0)</f>
        <v>0</v>
      </c>
      <c r="Q837" s="6">
        <f>IFERROR(__xludf.DUMMYFUNCTION("IF(REGEXMATCH(A837, ""^00-""), 0, IF(AND(NE(F837, """"), NE(G837, """")), 1, 0))"),1.0)</f>
        <v>1</v>
      </c>
      <c r="R837" s="6">
        <f t="shared" si="1"/>
        <v>1</v>
      </c>
    </row>
    <row r="838">
      <c r="A838" s="1" t="s">
        <v>127</v>
      </c>
      <c r="B838" s="1" t="s">
        <v>2317</v>
      </c>
      <c r="C838" s="1">
        <v>430.0</v>
      </c>
      <c r="D838" s="1">
        <v>37.0</v>
      </c>
      <c r="E838" s="1">
        <v>467.0</v>
      </c>
      <c r="F838" s="1" t="s">
        <v>2318</v>
      </c>
      <c r="G838" s="1" t="s">
        <v>2318</v>
      </c>
      <c r="H838" s="1" t="s">
        <v>235</v>
      </c>
      <c r="I838" s="1" t="s">
        <v>2275</v>
      </c>
      <c r="J838" s="1" t="s">
        <v>2276</v>
      </c>
      <c r="K838" s="1" t="s">
        <v>2277</v>
      </c>
      <c r="L838" s="1"/>
      <c r="M838" s="1" t="s">
        <v>2319</v>
      </c>
      <c r="N838" s="6">
        <f>IFERROR(__xludf.DUMMYFUNCTION("IF(REGEXMATCH(A838, ""^00-""), 0, IF(AND(EQ(F838, """"), EQ(G838, """")), 1, 0))"),0.0)</f>
        <v>0</v>
      </c>
      <c r="O838" s="6">
        <f>IFERROR(__xludf.DUMMYFUNCTION("IF(REGEXMATCH(A838, ""^00-""), 0, IF(AND(NE(F838, """"), EQ(G838, """")), 1, 0))"),0.0)</f>
        <v>0</v>
      </c>
      <c r="P838" s="6">
        <f>IFERROR(__xludf.DUMMYFUNCTION("IF(REGEXMATCH(A838, ""^00-""), 0, IF(AND(EQ(F838, """"), NE(G838, """")), 1, 0))"),0.0)</f>
        <v>0</v>
      </c>
      <c r="Q838" s="6">
        <f>IFERROR(__xludf.DUMMYFUNCTION("IF(REGEXMATCH(A838, ""^00-""), 0, IF(AND(NE(F838, """"), NE(G838, """")), 1, 0))"),1.0)</f>
        <v>1</v>
      </c>
      <c r="R838" s="6">
        <f t="shared" si="1"/>
        <v>1</v>
      </c>
    </row>
    <row r="839">
      <c r="A839" s="1" t="s">
        <v>127</v>
      </c>
      <c r="B839" s="1" t="s">
        <v>2320</v>
      </c>
      <c r="C839" s="1">
        <v>22.0</v>
      </c>
      <c r="D839" s="1">
        <v>445.0</v>
      </c>
      <c r="E839" s="1">
        <v>467.0</v>
      </c>
      <c r="F839" s="1" t="s">
        <v>2321</v>
      </c>
      <c r="G839" s="1" t="s">
        <v>2321</v>
      </c>
      <c r="H839" s="1" t="s">
        <v>171</v>
      </c>
      <c r="I839" s="1" t="s">
        <v>2275</v>
      </c>
      <c r="J839" s="1" t="s">
        <v>2276</v>
      </c>
      <c r="K839" s="1" t="s">
        <v>2277</v>
      </c>
      <c r="L839" s="1"/>
      <c r="M839" s="1" t="s">
        <v>171</v>
      </c>
      <c r="N839" s="6">
        <f>IFERROR(__xludf.DUMMYFUNCTION("IF(REGEXMATCH(A839, ""^00-""), 0, IF(AND(EQ(F839, """"), EQ(G839, """")), 1, 0))"),0.0)</f>
        <v>0</v>
      </c>
      <c r="O839" s="6">
        <f>IFERROR(__xludf.DUMMYFUNCTION("IF(REGEXMATCH(A839, ""^00-""), 0, IF(AND(NE(F839, """"), EQ(G839, """")), 1, 0))"),0.0)</f>
        <v>0</v>
      </c>
      <c r="P839" s="6">
        <f>IFERROR(__xludf.DUMMYFUNCTION("IF(REGEXMATCH(A839, ""^00-""), 0, IF(AND(EQ(F839, """"), NE(G839, """")), 1, 0))"),0.0)</f>
        <v>0</v>
      </c>
      <c r="Q839" s="6">
        <f>IFERROR(__xludf.DUMMYFUNCTION("IF(REGEXMATCH(A839, ""^00-""), 0, IF(AND(NE(F839, """"), NE(G839, """")), 1, 0))"),1.0)</f>
        <v>1</v>
      </c>
      <c r="R839" s="6">
        <f t="shared" si="1"/>
        <v>1</v>
      </c>
    </row>
    <row r="840">
      <c r="A840" s="1" t="s">
        <v>127</v>
      </c>
      <c r="B840" s="1" t="s">
        <v>2322</v>
      </c>
      <c r="C840" s="1">
        <v>430.0</v>
      </c>
      <c r="D840" s="1">
        <v>37.0</v>
      </c>
      <c r="E840" s="1">
        <v>467.0</v>
      </c>
      <c r="F840" s="1" t="s">
        <v>2323</v>
      </c>
      <c r="G840" s="1" t="s">
        <v>2323</v>
      </c>
      <c r="H840" s="1" t="s">
        <v>190</v>
      </c>
      <c r="I840" s="1" t="s">
        <v>2275</v>
      </c>
      <c r="J840" s="1" t="s">
        <v>2276</v>
      </c>
      <c r="K840" s="1" t="s">
        <v>2277</v>
      </c>
      <c r="L840" s="1"/>
      <c r="M840" s="1" t="s">
        <v>191</v>
      </c>
      <c r="N840" s="6">
        <f>IFERROR(__xludf.DUMMYFUNCTION("IF(REGEXMATCH(A840, ""^00-""), 0, IF(AND(EQ(F840, """"), EQ(G840, """")), 1, 0))"),0.0)</f>
        <v>0</v>
      </c>
      <c r="O840" s="6">
        <f>IFERROR(__xludf.DUMMYFUNCTION("IF(REGEXMATCH(A840, ""^00-""), 0, IF(AND(NE(F840, """"), EQ(G840, """")), 1, 0))"),0.0)</f>
        <v>0</v>
      </c>
      <c r="P840" s="6">
        <f>IFERROR(__xludf.DUMMYFUNCTION("IF(REGEXMATCH(A840, ""^00-""), 0, IF(AND(EQ(F840, """"), NE(G840, """")), 1, 0))"),0.0)</f>
        <v>0</v>
      </c>
      <c r="Q840" s="6">
        <f>IFERROR(__xludf.DUMMYFUNCTION("IF(REGEXMATCH(A840, ""^00-""), 0, IF(AND(NE(F840, """"), NE(G840, """")), 1, 0))"),1.0)</f>
        <v>1</v>
      </c>
      <c r="R840" s="6">
        <f t="shared" si="1"/>
        <v>1</v>
      </c>
    </row>
    <row r="841">
      <c r="A841" s="1" t="s">
        <v>127</v>
      </c>
      <c r="B841" s="1" t="s">
        <v>2324</v>
      </c>
      <c r="C841" s="1">
        <v>113.0</v>
      </c>
      <c r="D841" s="1">
        <v>354.0</v>
      </c>
      <c r="E841" s="1">
        <v>467.0</v>
      </c>
      <c r="F841" s="1" t="s">
        <v>2325</v>
      </c>
      <c r="G841" s="1" t="s">
        <v>2325</v>
      </c>
      <c r="H841" s="1" t="s">
        <v>235</v>
      </c>
      <c r="I841" s="1" t="s">
        <v>2275</v>
      </c>
      <c r="J841" s="1" t="s">
        <v>2276</v>
      </c>
      <c r="K841" s="1" t="s">
        <v>2277</v>
      </c>
      <c r="L841" s="1"/>
      <c r="M841" s="1" t="s">
        <v>2319</v>
      </c>
      <c r="N841" s="6">
        <f>IFERROR(__xludf.DUMMYFUNCTION("IF(REGEXMATCH(A841, ""^00-""), 0, IF(AND(EQ(F841, """"), EQ(G841, """")), 1, 0))"),0.0)</f>
        <v>0</v>
      </c>
      <c r="O841" s="6">
        <f>IFERROR(__xludf.DUMMYFUNCTION("IF(REGEXMATCH(A841, ""^00-""), 0, IF(AND(NE(F841, """"), EQ(G841, """")), 1, 0))"),0.0)</f>
        <v>0</v>
      </c>
      <c r="P841" s="6">
        <f>IFERROR(__xludf.DUMMYFUNCTION("IF(REGEXMATCH(A841, ""^00-""), 0, IF(AND(EQ(F841, """"), NE(G841, """")), 1, 0))"),0.0)</f>
        <v>0</v>
      </c>
      <c r="Q841" s="6">
        <f>IFERROR(__xludf.DUMMYFUNCTION("IF(REGEXMATCH(A841, ""^00-""), 0, IF(AND(NE(F841, """"), NE(G841, """")), 1, 0))"),1.0)</f>
        <v>1</v>
      </c>
      <c r="R841" s="6">
        <f t="shared" si="1"/>
        <v>1</v>
      </c>
    </row>
    <row r="842">
      <c r="A842" s="1" t="s">
        <v>127</v>
      </c>
      <c r="B842" s="1" t="s">
        <v>2326</v>
      </c>
      <c r="C842" s="1">
        <v>27.0</v>
      </c>
      <c r="D842" s="1">
        <v>440.0</v>
      </c>
      <c r="E842" s="1">
        <v>467.0</v>
      </c>
      <c r="F842" s="1" t="s">
        <v>2327</v>
      </c>
      <c r="G842" s="1" t="s">
        <v>2327</v>
      </c>
      <c r="H842" s="1" t="s">
        <v>171</v>
      </c>
      <c r="I842" s="1" t="s">
        <v>2275</v>
      </c>
      <c r="J842" s="1" t="s">
        <v>2276</v>
      </c>
      <c r="K842" s="1" t="s">
        <v>2277</v>
      </c>
      <c r="L842" s="1"/>
      <c r="M842" s="1" t="s">
        <v>171</v>
      </c>
      <c r="N842" s="6">
        <f>IFERROR(__xludf.DUMMYFUNCTION("IF(REGEXMATCH(A842, ""^00-""), 0, IF(AND(EQ(F842, """"), EQ(G842, """")), 1, 0))"),0.0)</f>
        <v>0</v>
      </c>
      <c r="O842" s="6">
        <f>IFERROR(__xludf.DUMMYFUNCTION("IF(REGEXMATCH(A842, ""^00-""), 0, IF(AND(NE(F842, """"), EQ(G842, """")), 1, 0))"),0.0)</f>
        <v>0</v>
      </c>
      <c r="P842" s="6">
        <f>IFERROR(__xludf.DUMMYFUNCTION("IF(REGEXMATCH(A842, ""^00-""), 0, IF(AND(EQ(F842, """"), NE(G842, """")), 1, 0))"),0.0)</f>
        <v>0</v>
      </c>
      <c r="Q842" s="6">
        <f>IFERROR(__xludf.DUMMYFUNCTION("IF(REGEXMATCH(A842, ""^00-""), 0, IF(AND(NE(F842, """"), NE(G842, """")), 1, 0))"),1.0)</f>
        <v>1</v>
      </c>
      <c r="R842" s="6">
        <f t="shared" si="1"/>
        <v>1</v>
      </c>
    </row>
    <row r="843">
      <c r="A843" s="1" t="s">
        <v>127</v>
      </c>
      <c r="B843" s="1" t="s">
        <v>2328</v>
      </c>
      <c r="C843" s="1">
        <v>427.0</v>
      </c>
      <c r="D843" s="1">
        <v>40.0</v>
      </c>
      <c r="E843" s="1">
        <v>467.0</v>
      </c>
      <c r="F843" s="1" t="s">
        <v>2329</v>
      </c>
      <c r="G843" s="1" t="s">
        <v>2329</v>
      </c>
      <c r="H843" s="1" t="s">
        <v>182</v>
      </c>
      <c r="I843" s="1" t="s">
        <v>2275</v>
      </c>
      <c r="J843" s="1" t="s">
        <v>2276</v>
      </c>
      <c r="K843" s="1" t="s">
        <v>2277</v>
      </c>
      <c r="L843" s="1"/>
      <c r="M843" s="1" t="s">
        <v>185</v>
      </c>
      <c r="N843" s="6">
        <f>IFERROR(__xludf.DUMMYFUNCTION("IF(REGEXMATCH(A843, ""^00-""), 0, IF(AND(EQ(F843, """"), EQ(G843, """")), 1, 0))"),0.0)</f>
        <v>0</v>
      </c>
      <c r="O843" s="6">
        <f>IFERROR(__xludf.DUMMYFUNCTION("IF(REGEXMATCH(A843, ""^00-""), 0, IF(AND(NE(F843, """"), EQ(G843, """")), 1, 0))"),0.0)</f>
        <v>0</v>
      </c>
      <c r="P843" s="6">
        <f>IFERROR(__xludf.DUMMYFUNCTION("IF(REGEXMATCH(A843, ""^00-""), 0, IF(AND(EQ(F843, """"), NE(G843, """")), 1, 0))"),0.0)</f>
        <v>0</v>
      </c>
      <c r="Q843" s="6">
        <f>IFERROR(__xludf.DUMMYFUNCTION("IF(REGEXMATCH(A843, ""^00-""), 0, IF(AND(NE(F843, """"), NE(G843, """")), 1, 0))"),1.0)</f>
        <v>1</v>
      </c>
      <c r="R843" s="6">
        <f t="shared" si="1"/>
        <v>1</v>
      </c>
    </row>
    <row r="844">
      <c r="A844" s="1" t="s">
        <v>127</v>
      </c>
      <c r="B844" s="1" t="s">
        <v>2330</v>
      </c>
      <c r="C844" s="1">
        <v>141.0</v>
      </c>
      <c r="D844" s="1">
        <v>326.0</v>
      </c>
      <c r="E844" s="1">
        <v>467.0</v>
      </c>
      <c r="F844" s="1" t="s">
        <v>2331</v>
      </c>
      <c r="G844" s="1"/>
      <c r="H844" s="1" t="s">
        <v>182</v>
      </c>
      <c r="I844" s="1" t="s">
        <v>2275</v>
      </c>
      <c r="J844" s="1" t="s">
        <v>2276</v>
      </c>
      <c r="K844" s="1" t="s">
        <v>2277</v>
      </c>
      <c r="L844" s="1"/>
      <c r="M844" s="1" t="s">
        <v>185</v>
      </c>
      <c r="N844" s="6">
        <f>IFERROR(__xludf.DUMMYFUNCTION("IF(REGEXMATCH(A844, ""^00-""), 0, IF(AND(EQ(F844, """"), EQ(G844, """")), 1, 0))"),0.0)</f>
        <v>0</v>
      </c>
      <c r="O844" s="6">
        <f>IFERROR(__xludf.DUMMYFUNCTION("IF(REGEXMATCH(A844, ""^00-""), 0, IF(AND(NE(F844, """"), EQ(G844, """")), 1, 0))"),1.0)</f>
        <v>1</v>
      </c>
      <c r="P844" s="6">
        <f>IFERROR(__xludf.DUMMYFUNCTION("IF(REGEXMATCH(A844, ""^00-""), 0, IF(AND(EQ(F844, """"), NE(G844, """")), 1, 0))"),0.0)</f>
        <v>0</v>
      </c>
      <c r="Q844" s="6">
        <f>IFERROR(__xludf.DUMMYFUNCTION("IF(REGEXMATCH(A844, ""^00-""), 0, IF(AND(NE(F844, """"), NE(G844, """")), 1, 0))"),0.0)</f>
        <v>0</v>
      </c>
      <c r="R844" s="6">
        <f t="shared" si="1"/>
        <v>1</v>
      </c>
    </row>
    <row r="845">
      <c r="A845" s="1" t="s">
        <v>127</v>
      </c>
      <c r="B845" s="1" t="s">
        <v>2332</v>
      </c>
      <c r="C845" s="1">
        <v>429.0</v>
      </c>
      <c r="D845" s="1">
        <v>38.0</v>
      </c>
      <c r="E845" s="1">
        <v>467.0</v>
      </c>
      <c r="F845" s="1" t="s">
        <v>2333</v>
      </c>
      <c r="G845" s="1" t="s">
        <v>2333</v>
      </c>
      <c r="H845" s="1" t="s">
        <v>269</v>
      </c>
      <c r="I845" s="1" t="s">
        <v>2275</v>
      </c>
      <c r="J845" s="1" t="s">
        <v>2276</v>
      </c>
      <c r="K845" s="1" t="s">
        <v>2277</v>
      </c>
      <c r="L845" s="1"/>
      <c r="M845" s="1" t="s">
        <v>2334</v>
      </c>
      <c r="N845" s="6">
        <f>IFERROR(__xludf.DUMMYFUNCTION("IF(REGEXMATCH(A845, ""^00-""), 0, IF(AND(EQ(F845, """"), EQ(G845, """")), 1, 0))"),0.0)</f>
        <v>0</v>
      </c>
      <c r="O845" s="6">
        <f>IFERROR(__xludf.DUMMYFUNCTION("IF(REGEXMATCH(A845, ""^00-""), 0, IF(AND(NE(F845, """"), EQ(G845, """")), 1, 0))"),0.0)</f>
        <v>0</v>
      </c>
      <c r="P845" s="6">
        <f>IFERROR(__xludf.DUMMYFUNCTION("IF(REGEXMATCH(A845, ""^00-""), 0, IF(AND(EQ(F845, """"), NE(G845, """")), 1, 0))"),0.0)</f>
        <v>0</v>
      </c>
      <c r="Q845" s="6">
        <f>IFERROR(__xludf.DUMMYFUNCTION("IF(REGEXMATCH(A845, ""^00-""), 0, IF(AND(NE(F845, """"), NE(G845, """")), 1, 0))"),1.0)</f>
        <v>1</v>
      </c>
      <c r="R845" s="6">
        <f t="shared" si="1"/>
        <v>1</v>
      </c>
    </row>
    <row r="846">
      <c r="A846" s="1" t="s">
        <v>127</v>
      </c>
      <c r="B846" s="1" t="s">
        <v>2335</v>
      </c>
      <c r="C846" s="1">
        <v>428.0</v>
      </c>
      <c r="D846" s="1">
        <v>39.0</v>
      </c>
      <c r="E846" s="1">
        <v>467.0</v>
      </c>
      <c r="F846" s="1" t="s">
        <v>2336</v>
      </c>
      <c r="G846" s="1" t="s">
        <v>2336</v>
      </c>
      <c r="H846" s="1" t="s">
        <v>190</v>
      </c>
      <c r="I846" s="1" t="s">
        <v>2275</v>
      </c>
      <c r="J846" s="1" t="s">
        <v>2276</v>
      </c>
      <c r="K846" s="1" t="s">
        <v>2277</v>
      </c>
      <c r="L846" s="1"/>
      <c r="M846" s="1" t="s">
        <v>191</v>
      </c>
      <c r="N846" s="6">
        <f>IFERROR(__xludf.DUMMYFUNCTION("IF(REGEXMATCH(A846, ""^00-""), 0, IF(AND(EQ(F846, """"), EQ(G846, """")), 1, 0))"),0.0)</f>
        <v>0</v>
      </c>
      <c r="O846" s="6">
        <f>IFERROR(__xludf.DUMMYFUNCTION("IF(REGEXMATCH(A846, ""^00-""), 0, IF(AND(NE(F846, """"), EQ(G846, """")), 1, 0))"),0.0)</f>
        <v>0</v>
      </c>
      <c r="P846" s="6">
        <f>IFERROR(__xludf.DUMMYFUNCTION("IF(REGEXMATCH(A846, ""^00-""), 0, IF(AND(EQ(F846, """"), NE(G846, """")), 1, 0))"),0.0)</f>
        <v>0</v>
      </c>
      <c r="Q846" s="6">
        <f>IFERROR(__xludf.DUMMYFUNCTION("IF(REGEXMATCH(A846, ""^00-""), 0, IF(AND(NE(F846, """"), NE(G846, """")), 1, 0))"),1.0)</f>
        <v>1</v>
      </c>
      <c r="R846" s="6">
        <f t="shared" si="1"/>
        <v>1</v>
      </c>
    </row>
    <row r="847">
      <c r="A847" s="1" t="s">
        <v>127</v>
      </c>
      <c r="B847" s="1" t="s">
        <v>2337</v>
      </c>
      <c r="C847" s="1">
        <v>429.0</v>
      </c>
      <c r="D847" s="1">
        <v>38.0</v>
      </c>
      <c r="E847" s="1">
        <v>467.0</v>
      </c>
      <c r="F847" s="1" t="s">
        <v>2338</v>
      </c>
      <c r="G847" s="1" t="s">
        <v>2338</v>
      </c>
      <c r="H847" s="1" t="s">
        <v>269</v>
      </c>
      <c r="I847" s="1" t="s">
        <v>2275</v>
      </c>
      <c r="J847" s="1" t="s">
        <v>2276</v>
      </c>
      <c r="K847" s="1" t="s">
        <v>2277</v>
      </c>
      <c r="L847" s="1"/>
      <c r="M847" s="1" t="s">
        <v>2334</v>
      </c>
      <c r="N847" s="6">
        <f>IFERROR(__xludf.DUMMYFUNCTION("IF(REGEXMATCH(A847, ""^00-""), 0, IF(AND(EQ(F847, """"), EQ(G847, """")), 1, 0))"),0.0)</f>
        <v>0</v>
      </c>
      <c r="O847" s="6">
        <f>IFERROR(__xludf.DUMMYFUNCTION("IF(REGEXMATCH(A847, ""^00-""), 0, IF(AND(NE(F847, """"), EQ(G847, """")), 1, 0))"),0.0)</f>
        <v>0</v>
      </c>
      <c r="P847" s="6">
        <f>IFERROR(__xludf.DUMMYFUNCTION("IF(REGEXMATCH(A847, ""^00-""), 0, IF(AND(EQ(F847, """"), NE(G847, """")), 1, 0))"),0.0)</f>
        <v>0</v>
      </c>
      <c r="Q847" s="6">
        <f>IFERROR(__xludf.DUMMYFUNCTION("IF(REGEXMATCH(A847, ""^00-""), 0, IF(AND(NE(F847, """"), NE(G847, """")), 1, 0))"),1.0)</f>
        <v>1</v>
      </c>
      <c r="R847" s="6">
        <f t="shared" si="1"/>
        <v>1</v>
      </c>
    </row>
    <row r="848">
      <c r="A848" s="1" t="s">
        <v>127</v>
      </c>
      <c r="B848" s="1" t="s">
        <v>2339</v>
      </c>
      <c r="C848" s="1">
        <v>428.0</v>
      </c>
      <c r="D848" s="1">
        <v>39.0</v>
      </c>
      <c r="E848" s="1">
        <v>467.0</v>
      </c>
      <c r="F848" s="1" t="s">
        <v>2340</v>
      </c>
      <c r="G848" s="1" t="s">
        <v>2340</v>
      </c>
      <c r="H848" s="1" t="s">
        <v>190</v>
      </c>
      <c r="I848" s="1" t="s">
        <v>2275</v>
      </c>
      <c r="J848" s="1" t="s">
        <v>2276</v>
      </c>
      <c r="K848" s="1" t="s">
        <v>2277</v>
      </c>
      <c r="L848" s="1"/>
      <c r="M848" s="1" t="s">
        <v>191</v>
      </c>
      <c r="N848" s="6">
        <f>IFERROR(__xludf.DUMMYFUNCTION("IF(REGEXMATCH(A848, ""^00-""), 0, IF(AND(EQ(F848, """"), EQ(G848, """")), 1, 0))"),0.0)</f>
        <v>0</v>
      </c>
      <c r="O848" s="6">
        <f>IFERROR(__xludf.DUMMYFUNCTION("IF(REGEXMATCH(A848, ""^00-""), 0, IF(AND(NE(F848, """"), EQ(G848, """")), 1, 0))"),0.0)</f>
        <v>0</v>
      </c>
      <c r="P848" s="6">
        <f>IFERROR(__xludf.DUMMYFUNCTION("IF(REGEXMATCH(A848, ""^00-""), 0, IF(AND(EQ(F848, """"), NE(G848, """")), 1, 0))"),0.0)</f>
        <v>0</v>
      </c>
      <c r="Q848" s="6">
        <f>IFERROR(__xludf.DUMMYFUNCTION("IF(REGEXMATCH(A848, ""^00-""), 0, IF(AND(NE(F848, """"), NE(G848, """")), 1, 0))"),1.0)</f>
        <v>1</v>
      </c>
      <c r="R848" s="6">
        <f t="shared" si="1"/>
        <v>1</v>
      </c>
    </row>
    <row r="849">
      <c r="A849" s="1" t="s">
        <v>127</v>
      </c>
      <c r="B849" s="1" t="s">
        <v>2341</v>
      </c>
      <c r="C849" s="1">
        <v>430.0</v>
      </c>
      <c r="D849" s="1">
        <v>37.0</v>
      </c>
      <c r="E849" s="1">
        <v>467.0</v>
      </c>
      <c r="F849" s="1" t="s">
        <v>2342</v>
      </c>
      <c r="G849" s="1" t="s">
        <v>2342</v>
      </c>
      <c r="H849" s="1" t="s">
        <v>269</v>
      </c>
      <c r="I849" s="1" t="s">
        <v>2275</v>
      </c>
      <c r="J849" s="1" t="s">
        <v>2276</v>
      </c>
      <c r="K849" s="1" t="s">
        <v>2277</v>
      </c>
      <c r="L849" s="1"/>
      <c r="M849" s="1" t="s">
        <v>2334</v>
      </c>
      <c r="N849" s="6">
        <f>IFERROR(__xludf.DUMMYFUNCTION("IF(REGEXMATCH(A849, ""^00-""), 0, IF(AND(EQ(F849, """"), EQ(G849, """")), 1, 0))"),0.0)</f>
        <v>0</v>
      </c>
      <c r="O849" s="6">
        <f>IFERROR(__xludf.DUMMYFUNCTION("IF(REGEXMATCH(A849, ""^00-""), 0, IF(AND(NE(F849, """"), EQ(G849, """")), 1, 0))"),0.0)</f>
        <v>0</v>
      </c>
      <c r="P849" s="6">
        <f>IFERROR(__xludf.DUMMYFUNCTION("IF(REGEXMATCH(A849, ""^00-""), 0, IF(AND(EQ(F849, """"), NE(G849, """")), 1, 0))"),0.0)</f>
        <v>0</v>
      </c>
      <c r="Q849" s="6">
        <f>IFERROR(__xludf.DUMMYFUNCTION("IF(REGEXMATCH(A849, ""^00-""), 0, IF(AND(NE(F849, """"), NE(G849, """")), 1, 0))"),1.0)</f>
        <v>1</v>
      </c>
      <c r="R849" s="6">
        <f t="shared" si="1"/>
        <v>1</v>
      </c>
    </row>
    <row r="850">
      <c r="A850" s="1" t="s">
        <v>127</v>
      </c>
      <c r="B850" s="1" t="s">
        <v>2343</v>
      </c>
      <c r="C850" s="1">
        <v>428.0</v>
      </c>
      <c r="D850" s="1">
        <v>39.0</v>
      </c>
      <c r="E850" s="1">
        <v>467.0</v>
      </c>
      <c r="F850" s="1" t="s">
        <v>2344</v>
      </c>
      <c r="G850" s="1" t="s">
        <v>2344</v>
      </c>
      <c r="H850" s="1" t="s">
        <v>190</v>
      </c>
      <c r="I850" s="1" t="s">
        <v>2275</v>
      </c>
      <c r="J850" s="1" t="s">
        <v>2276</v>
      </c>
      <c r="K850" s="1" t="s">
        <v>2277</v>
      </c>
      <c r="L850" s="1"/>
      <c r="M850" s="1" t="s">
        <v>191</v>
      </c>
      <c r="N850" s="6">
        <f>IFERROR(__xludf.DUMMYFUNCTION("IF(REGEXMATCH(A850, ""^00-""), 0, IF(AND(EQ(F850, """"), EQ(G850, """")), 1, 0))"),0.0)</f>
        <v>0</v>
      </c>
      <c r="O850" s="6">
        <f>IFERROR(__xludf.DUMMYFUNCTION("IF(REGEXMATCH(A850, ""^00-""), 0, IF(AND(NE(F850, """"), EQ(G850, """")), 1, 0))"),0.0)</f>
        <v>0</v>
      </c>
      <c r="P850" s="6">
        <f>IFERROR(__xludf.DUMMYFUNCTION("IF(REGEXMATCH(A850, ""^00-""), 0, IF(AND(EQ(F850, """"), NE(G850, """")), 1, 0))"),0.0)</f>
        <v>0</v>
      </c>
      <c r="Q850" s="6">
        <f>IFERROR(__xludf.DUMMYFUNCTION("IF(REGEXMATCH(A850, ""^00-""), 0, IF(AND(NE(F850, """"), NE(G850, """")), 1, 0))"),1.0)</f>
        <v>1</v>
      </c>
      <c r="R850" s="6">
        <f t="shared" si="1"/>
        <v>1</v>
      </c>
    </row>
    <row r="851">
      <c r="A851" s="1" t="s">
        <v>127</v>
      </c>
      <c r="B851" s="1" t="s">
        <v>2345</v>
      </c>
      <c r="C851" s="1">
        <v>430.0</v>
      </c>
      <c r="D851" s="1">
        <v>37.0</v>
      </c>
      <c r="E851" s="1">
        <v>467.0</v>
      </c>
      <c r="F851" s="1" t="s">
        <v>2346</v>
      </c>
      <c r="G851" s="1" t="s">
        <v>2346</v>
      </c>
      <c r="H851" s="1" t="s">
        <v>269</v>
      </c>
      <c r="I851" s="1" t="s">
        <v>2275</v>
      </c>
      <c r="J851" s="1" t="s">
        <v>2276</v>
      </c>
      <c r="K851" s="1" t="s">
        <v>2277</v>
      </c>
      <c r="L851" s="1"/>
      <c r="M851" s="1" t="s">
        <v>2334</v>
      </c>
      <c r="N851" s="6">
        <f>IFERROR(__xludf.DUMMYFUNCTION("IF(REGEXMATCH(A851, ""^00-""), 0, IF(AND(EQ(F851, """"), EQ(G851, """")), 1, 0))"),0.0)</f>
        <v>0</v>
      </c>
      <c r="O851" s="6">
        <f>IFERROR(__xludf.DUMMYFUNCTION("IF(REGEXMATCH(A851, ""^00-""), 0, IF(AND(NE(F851, """"), EQ(G851, """")), 1, 0))"),0.0)</f>
        <v>0</v>
      </c>
      <c r="P851" s="6">
        <f>IFERROR(__xludf.DUMMYFUNCTION("IF(REGEXMATCH(A851, ""^00-""), 0, IF(AND(EQ(F851, """"), NE(G851, """")), 1, 0))"),0.0)</f>
        <v>0</v>
      </c>
      <c r="Q851" s="6">
        <f>IFERROR(__xludf.DUMMYFUNCTION("IF(REGEXMATCH(A851, ""^00-""), 0, IF(AND(NE(F851, """"), NE(G851, """")), 1, 0))"),1.0)</f>
        <v>1</v>
      </c>
      <c r="R851" s="6">
        <f t="shared" si="1"/>
        <v>1</v>
      </c>
    </row>
    <row r="852">
      <c r="A852" s="1" t="s">
        <v>127</v>
      </c>
      <c r="B852" s="1" t="s">
        <v>2347</v>
      </c>
      <c r="C852" s="1">
        <v>428.0</v>
      </c>
      <c r="D852" s="1">
        <v>39.0</v>
      </c>
      <c r="E852" s="1">
        <v>467.0</v>
      </c>
      <c r="F852" s="1" t="s">
        <v>2348</v>
      </c>
      <c r="G852" s="1" t="s">
        <v>2348</v>
      </c>
      <c r="H852" s="1" t="s">
        <v>190</v>
      </c>
      <c r="I852" s="1" t="s">
        <v>2275</v>
      </c>
      <c r="J852" s="1" t="s">
        <v>2276</v>
      </c>
      <c r="K852" s="1" t="s">
        <v>2277</v>
      </c>
      <c r="L852" s="1"/>
      <c r="M852" s="1" t="s">
        <v>191</v>
      </c>
      <c r="N852" s="6">
        <f>IFERROR(__xludf.DUMMYFUNCTION("IF(REGEXMATCH(A852, ""^00-""), 0, IF(AND(EQ(F852, """"), EQ(G852, """")), 1, 0))"),0.0)</f>
        <v>0</v>
      </c>
      <c r="O852" s="6">
        <f>IFERROR(__xludf.DUMMYFUNCTION("IF(REGEXMATCH(A852, ""^00-""), 0, IF(AND(NE(F852, """"), EQ(G852, """")), 1, 0))"),0.0)</f>
        <v>0</v>
      </c>
      <c r="P852" s="6">
        <f>IFERROR(__xludf.DUMMYFUNCTION("IF(REGEXMATCH(A852, ""^00-""), 0, IF(AND(EQ(F852, """"), NE(G852, """")), 1, 0))"),0.0)</f>
        <v>0</v>
      </c>
      <c r="Q852" s="6">
        <f>IFERROR(__xludf.DUMMYFUNCTION("IF(REGEXMATCH(A852, ""^00-""), 0, IF(AND(NE(F852, """"), NE(G852, """")), 1, 0))"),1.0)</f>
        <v>1</v>
      </c>
      <c r="R852" s="6">
        <f t="shared" si="1"/>
        <v>1</v>
      </c>
    </row>
    <row r="853">
      <c r="A853" s="1" t="s">
        <v>127</v>
      </c>
      <c r="B853" s="1" t="s">
        <v>2349</v>
      </c>
      <c r="C853" s="1">
        <v>430.0</v>
      </c>
      <c r="D853" s="1">
        <v>37.0</v>
      </c>
      <c r="E853" s="1">
        <v>467.0</v>
      </c>
      <c r="F853" s="1" t="s">
        <v>2350</v>
      </c>
      <c r="G853" s="1" t="s">
        <v>2350</v>
      </c>
      <c r="H853" s="1" t="s">
        <v>269</v>
      </c>
      <c r="I853" s="1" t="s">
        <v>2275</v>
      </c>
      <c r="J853" s="1" t="s">
        <v>2276</v>
      </c>
      <c r="K853" s="1" t="s">
        <v>2277</v>
      </c>
      <c r="L853" s="1"/>
      <c r="M853" s="1" t="s">
        <v>2334</v>
      </c>
      <c r="N853" s="6">
        <f>IFERROR(__xludf.DUMMYFUNCTION("IF(REGEXMATCH(A853, ""^00-""), 0, IF(AND(EQ(F853, """"), EQ(G853, """")), 1, 0))"),0.0)</f>
        <v>0</v>
      </c>
      <c r="O853" s="6">
        <f>IFERROR(__xludf.DUMMYFUNCTION("IF(REGEXMATCH(A853, ""^00-""), 0, IF(AND(NE(F853, """"), EQ(G853, """")), 1, 0))"),0.0)</f>
        <v>0</v>
      </c>
      <c r="P853" s="6">
        <f>IFERROR(__xludf.DUMMYFUNCTION("IF(REGEXMATCH(A853, ""^00-""), 0, IF(AND(EQ(F853, """"), NE(G853, """")), 1, 0))"),0.0)</f>
        <v>0</v>
      </c>
      <c r="Q853" s="6">
        <f>IFERROR(__xludf.DUMMYFUNCTION("IF(REGEXMATCH(A853, ""^00-""), 0, IF(AND(NE(F853, """"), NE(G853, """")), 1, 0))"),1.0)</f>
        <v>1</v>
      </c>
      <c r="R853" s="6">
        <f t="shared" si="1"/>
        <v>1</v>
      </c>
    </row>
    <row r="854">
      <c r="A854" s="1" t="s">
        <v>127</v>
      </c>
      <c r="B854" s="1" t="s">
        <v>2351</v>
      </c>
      <c r="C854" s="1">
        <v>428.0</v>
      </c>
      <c r="D854" s="1">
        <v>39.0</v>
      </c>
      <c r="E854" s="1">
        <v>467.0</v>
      </c>
      <c r="F854" s="1" t="s">
        <v>2352</v>
      </c>
      <c r="G854" s="1" t="s">
        <v>2352</v>
      </c>
      <c r="H854" s="1" t="s">
        <v>190</v>
      </c>
      <c r="I854" s="1" t="s">
        <v>2275</v>
      </c>
      <c r="J854" s="1" t="s">
        <v>2276</v>
      </c>
      <c r="K854" s="1" t="s">
        <v>2277</v>
      </c>
      <c r="L854" s="1"/>
      <c r="M854" s="1" t="s">
        <v>191</v>
      </c>
      <c r="N854" s="6">
        <f>IFERROR(__xludf.DUMMYFUNCTION("IF(REGEXMATCH(A854, ""^00-""), 0, IF(AND(EQ(F854, """"), EQ(G854, """")), 1, 0))"),0.0)</f>
        <v>0</v>
      </c>
      <c r="O854" s="6">
        <f>IFERROR(__xludf.DUMMYFUNCTION("IF(REGEXMATCH(A854, ""^00-""), 0, IF(AND(NE(F854, """"), EQ(G854, """")), 1, 0))"),0.0)</f>
        <v>0</v>
      </c>
      <c r="P854" s="6">
        <f>IFERROR(__xludf.DUMMYFUNCTION("IF(REGEXMATCH(A854, ""^00-""), 0, IF(AND(EQ(F854, """"), NE(G854, """")), 1, 0))"),0.0)</f>
        <v>0</v>
      </c>
      <c r="Q854" s="6">
        <f>IFERROR(__xludf.DUMMYFUNCTION("IF(REGEXMATCH(A854, ""^00-""), 0, IF(AND(NE(F854, """"), NE(G854, """")), 1, 0))"),1.0)</f>
        <v>1</v>
      </c>
      <c r="R854" s="6">
        <f t="shared" si="1"/>
        <v>1</v>
      </c>
    </row>
    <row r="855">
      <c r="A855" s="1" t="s">
        <v>127</v>
      </c>
      <c r="B855" s="1" t="s">
        <v>2353</v>
      </c>
      <c r="C855" s="1">
        <v>429.0</v>
      </c>
      <c r="D855" s="1">
        <v>38.0</v>
      </c>
      <c r="E855" s="1">
        <v>467.0</v>
      </c>
      <c r="F855" s="1" t="s">
        <v>2354</v>
      </c>
      <c r="G855" s="1" t="s">
        <v>2354</v>
      </c>
      <c r="H855" s="1" t="s">
        <v>269</v>
      </c>
      <c r="I855" s="1" t="s">
        <v>2275</v>
      </c>
      <c r="J855" s="1" t="s">
        <v>2276</v>
      </c>
      <c r="K855" s="1" t="s">
        <v>2277</v>
      </c>
      <c r="L855" s="1"/>
      <c r="M855" s="1" t="s">
        <v>2334</v>
      </c>
      <c r="N855" s="6">
        <f>IFERROR(__xludf.DUMMYFUNCTION("IF(REGEXMATCH(A855, ""^00-""), 0, IF(AND(EQ(F855, """"), EQ(G855, """")), 1, 0))"),0.0)</f>
        <v>0</v>
      </c>
      <c r="O855" s="6">
        <f>IFERROR(__xludf.DUMMYFUNCTION("IF(REGEXMATCH(A855, ""^00-""), 0, IF(AND(NE(F855, """"), EQ(G855, """")), 1, 0))"),0.0)</f>
        <v>0</v>
      </c>
      <c r="P855" s="6">
        <f>IFERROR(__xludf.DUMMYFUNCTION("IF(REGEXMATCH(A855, ""^00-""), 0, IF(AND(EQ(F855, """"), NE(G855, """")), 1, 0))"),0.0)</f>
        <v>0</v>
      </c>
      <c r="Q855" s="6">
        <f>IFERROR(__xludf.DUMMYFUNCTION("IF(REGEXMATCH(A855, ""^00-""), 0, IF(AND(NE(F855, """"), NE(G855, """")), 1, 0))"),1.0)</f>
        <v>1</v>
      </c>
      <c r="R855" s="6">
        <f t="shared" si="1"/>
        <v>1</v>
      </c>
    </row>
    <row r="856">
      <c r="A856" s="1" t="s">
        <v>127</v>
      </c>
      <c r="B856" s="1" t="s">
        <v>2355</v>
      </c>
      <c r="C856" s="1">
        <v>428.0</v>
      </c>
      <c r="D856" s="1">
        <v>39.0</v>
      </c>
      <c r="E856" s="1">
        <v>467.0</v>
      </c>
      <c r="F856" s="1" t="s">
        <v>2356</v>
      </c>
      <c r="G856" s="1" t="s">
        <v>2356</v>
      </c>
      <c r="H856" s="1" t="s">
        <v>190</v>
      </c>
      <c r="I856" s="1" t="s">
        <v>2275</v>
      </c>
      <c r="J856" s="1" t="s">
        <v>2276</v>
      </c>
      <c r="K856" s="1" t="s">
        <v>2277</v>
      </c>
      <c r="L856" s="1"/>
      <c r="M856" s="1" t="s">
        <v>191</v>
      </c>
      <c r="N856" s="6">
        <f>IFERROR(__xludf.DUMMYFUNCTION("IF(REGEXMATCH(A856, ""^00-""), 0, IF(AND(EQ(F856, """"), EQ(G856, """")), 1, 0))"),0.0)</f>
        <v>0</v>
      </c>
      <c r="O856" s="6">
        <f>IFERROR(__xludf.DUMMYFUNCTION("IF(REGEXMATCH(A856, ""^00-""), 0, IF(AND(NE(F856, """"), EQ(G856, """")), 1, 0))"),0.0)</f>
        <v>0</v>
      </c>
      <c r="P856" s="6">
        <f>IFERROR(__xludf.DUMMYFUNCTION("IF(REGEXMATCH(A856, ""^00-""), 0, IF(AND(EQ(F856, """"), NE(G856, """")), 1, 0))"),0.0)</f>
        <v>0</v>
      </c>
      <c r="Q856" s="6">
        <f>IFERROR(__xludf.DUMMYFUNCTION("IF(REGEXMATCH(A856, ""^00-""), 0, IF(AND(NE(F856, """"), NE(G856, """")), 1, 0))"),1.0)</f>
        <v>1</v>
      </c>
      <c r="R856" s="6">
        <f t="shared" si="1"/>
        <v>1</v>
      </c>
    </row>
    <row r="857">
      <c r="A857" s="1" t="s">
        <v>127</v>
      </c>
      <c r="B857" s="1" t="s">
        <v>2357</v>
      </c>
      <c r="C857" s="1">
        <v>141.0</v>
      </c>
      <c r="D857" s="1">
        <v>326.0</v>
      </c>
      <c r="E857" s="1">
        <v>467.0</v>
      </c>
      <c r="F857" s="1" t="s">
        <v>2358</v>
      </c>
      <c r="G857" s="1"/>
      <c r="H857" s="1" t="s">
        <v>269</v>
      </c>
      <c r="I857" s="1" t="s">
        <v>2275</v>
      </c>
      <c r="J857" s="1" t="s">
        <v>2276</v>
      </c>
      <c r="K857" s="1" t="s">
        <v>2277</v>
      </c>
      <c r="L857" s="1"/>
      <c r="M857" s="1" t="s">
        <v>2334</v>
      </c>
      <c r="N857" s="6">
        <f>IFERROR(__xludf.DUMMYFUNCTION("IF(REGEXMATCH(A857, ""^00-""), 0, IF(AND(EQ(F857, """"), EQ(G857, """")), 1, 0))"),0.0)</f>
        <v>0</v>
      </c>
      <c r="O857" s="6">
        <f>IFERROR(__xludf.DUMMYFUNCTION("IF(REGEXMATCH(A857, ""^00-""), 0, IF(AND(NE(F857, """"), EQ(G857, """")), 1, 0))"),1.0)</f>
        <v>1</v>
      </c>
      <c r="P857" s="6">
        <f>IFERROR(__xludf.DUMMYFUNCTION("IF(REGEXMATCH(A857, ""^00-""), 0, IF(AND(EQ(F857, """"), NE(G857, """")), 1, 0))"),0.0)</f>
        <v>0</v>
      </c>
      <c r="Q857" s="6">
        <f>IFERROR(__xludf.DUMMYFUNCTION("IF(REGEXMATCH(A857, ""^00-""), 0, IF(AND(NE(F857, """"), NE(G857, """")), 1, 0))"),0.0)</f>
        <v>0</v>
      </c>
      <c r="R857" s="6">
        <f t="shared" si="1"/>
        <v>1</v>
      </c>
    </row>
    <row r="858">
      <c r="A858" s="1" t="s">
        <v>127</v>
      </c>
      <c r="B858" s="1" t="s">
        <v>2359</v>
      </c>
      <c r="C858" s="1">
        <v>142.0</v>
      </c>
      <c r="D858" s="1">
        <v>325.0</v>
      </c>
      <c r="E858" s="1">
        <v>467.0</v>
      </c>
      <c r="F858" s="1" t="s">
        <v>2360</v>
      </c>
      <c r="G858" s="1"/>
      <c r="H858" s="1" t="s">
        <v>190</v>
      </c>
      <c r="I858" s="1" t="s">
        <v>2275</v>
      </c>
      <c r="J858" s="1" t="s">
        <v>2276</v>
      </c>
      <c r="K858" s="1" t="s">
        <v>2277</v>
      </c>
      <c r="L858" s="1"/>
      <c r="M858" s="1" t="s">
        <v>191</v>
      </c>
      <c r="N858" s="6">
        <f>IFERROR(__xludf.DUMMYFUNCTION("IF(REGEXMATCH(A858, ""^00-""), 0, IF(AND(EQ(F858, """"), EQ(G858, """")), 1, 0))"),0.0)</f>
        <v>0</v>
      </c>
      <c r="O858" s="6">
        <f>IFERROR(__xludf.DUMMYFUNCTION("IF(REGEXMATCH(A858, ""^00-""), 0, IF(AND(NE(F858, """"), EQ(G858, """")), 1, 0))"),1.0)</f>
        <v>1</v>
      </c>
      <c r="P858" s="6">
        <f>IFERROR(__xludf.DUMMYFUNCTION("IF(REGEXMATCH(A858, ""^00-""), 0, IF(AND(EQ(F858, """"), NE(G858, """")), 1, 0))"),0.0)</f>
        <v>0</v>
      </c>
      <c r="Q858" s="6">
        <f>IFERROR(__xludf.DUMMYFUNCTION("IF(REGEXMATCH(A858, ""^00-""), 0, IF(AND(NE(F858, """"), NE(G858, """")), 1, 0))"),0.0)</f>
        <v>0</v>
      </c>
      <c r="R858" s="6">
        <f t="shared" si="1"/>
        <v>1</v>
      </c>
    </row>
    <row r="859">
      <c r="A859" s="1" t="s">
        <v>127</v>
      </c>
      <c r="B859" s="1" t="s">
        <v>2361</v>
      </c>
      <c r="C859" s="1">
        <v>430.0</v>
      </c>
      <c r="D859" s="1">
        <v>37.0</v>
      </c>
      <c r="E859" s="1">
        <v>467.0</v>
      </c>
      <c r="F859" s="1" t="s">
        <v>2362</v>
      </c>
      <c r="G859" s="1" t="s">
        <v>2362</v>
      </c>
      <c r="H859" s="1" t="s">
        <v>269</v>
      </c>
      <c r="I859" s="1" t="s">
        <v>2275</v>
      </c>
      <c r="J859" s="1" t="s">
        <v>2276</v>
      </c>
      <c r="K859" s="1" t="s">
        <v>2277</v>
      </c>
      <c r="L859" s="1"/>
      <c r="M859" s="1" t="s">
        <v>2334</v>
      </c>
      <c r="N859" s="6">
        <f>IFERROR(__xludf.DUMMYFUNCTION("IF(REGEXMATCH(A859, ""^00-""), 0, IF(AND(EQ(F859, """"), EQ(G859, """")), 1, 0))"),0.0)</f>
        <v>0</v>
      </c>
      <c r="O859" s="6">
        <f>IFERROR(__xludf.DUMMYFUNCTION("IF(REGEXMATCH(A859, ""^00-""), 0, IF(AND(NE(F859, """"), EQ(G859, """")), 1, 0))"),0.0)</f>
        <v>0</v>
      </c>
      <c r="P859" s="6">
        <f>IFERROR(__xludf.DUMMYFUNCTION("IF(REGEXMATCH(A859, ""^00-""), 0, IF(AND(EQ(F859, """"), NE(G859, """")), 1, 0))"),0.0)</f>
        <v>0</v>
      </c>
      <c r="Q859" s="6">
        <f>IFERROR(__xludf.DUMMYFUNCTION("IF(REGEXMATCH(A859, ""^00-""), 0, IF(AND(NE(F859, """"), NE(G859, """")), 1, 0))"),1.0)</f>
        <v>1</v>
      </c>
      <c r="R859" s="6">
        <f t="shared" si="1"/>
        <v>1</v>
      </c>
    </row>
    <row r="860">
      <c r="A860" s="1" t="s">
        <v>127</v>
      </c>
      <c r="B860" s="1" t="s">
        <v>2363</v>
      </c>
      <c r="C860" s="1">
        <v>426.0</v>
      </c>
      <c r="D860" s="1">
        <v>41.0</v>
      </c>
      <c r="E860" s="1">
        <v>467.0</v>
      </c>
      <c r="F860" s="1" t="s">
        <v>2364</v>
      </c>
      <c r="G860" s="1" t="s">
        <v>2364</v>
      </c>
      <c r="H860" s="1" t="s">
        <v>190</v>
      </c>
      <c r="I860" s="1" t="s">
        <v>2275</v>
      </c>
      <c r="J860" s="1" t="s">
        <v>2276</v>
      </c>
      <c r="K860" s="1" t="s">
        <v>2277</v>
      </c>
      <c r="L860" s="1"/>
      <c r="M860" s="1" t="s">
        <v>191</v>
      </c>
      <c r="N860" s="6">
        <f>IFERROR(__xludf.DUMMYFUNCTION("IF(REGEXMATCH(A860, ""^00-""), 0, IF(AND(EQ(F860, """"), EQ(G860, """")), 1, 0))"),0.0)</f>
        <v>0</v>
      </c>
      <c r="O860" s="6">
        <f>IFERROR(__xludf.DUMMYFUNCTION("IF(REGEXMATCH(A860, ""^00-""), 0, IF(AND(NE(F860, """"), EQ(G860, """")), 1, 0))"),0.0)</f>
        <v>0</v>
      </c>
      <c r="P860" s="6">
        <f>IFERROR(__xludf.DUMMYFUNCTION("IF(REGEXMATCH(A860, ""^00-""), 0, IF(AND(EQ(F860, """"), NE(G860, """")), 1, 0))"),0.0)</f>
        <v>0</v>
      </c>
      <c r="Q860" s="6">
        <f>IFERROR(__xludf.DUMMYFUNCTION("IF(REGEXMATCH(A860, ""^00-""), 0, IF(AND(NE(F860, """"), NE(G860, """")), 1, 0))"),1.0)</f>
        <v>1</v>
      </c>
      <c r="R860" s="6">
        <f t="shared" si="1"/>
        <v>1</v>
      </c>
    </row>
    <row r="861">
      <c r="A861" s="1" t="s">
        <v>127</v>
      </c>
      <c r="B861" s="1" t="s">
        <v>2365</v>
      </c>
      <c r="C861" s="1">
        <v>429.0</v>
      </c>
      <c r="D861" s="1">
        <v>38.0</v>
      </c>
      <c r="E861" s="1">
        <v>467.0</v>
      </c>
      <c r="F861" s="1" t="s">
        <v>2366</v>
      </c>
      <c r="G861" s="1" t="s">
        <v>2366</v>
      </c>
      <c r="H861" s="1" t="s">
        <v>269</v>
      </c>
      <c r="I861" s="1" t="s">
        <v>2275</v>
      </c>
      <c r="J861" s="1" t="s">
        <v>2276</v>
      </c>
      <c r="K861" s="1" t="s">
        <v>2277</v>
      </c>
      <c r="L861" s="1"/>
      <c r="M861" s="1" t="s">
        <v>2334</v>
      </c>
      <c r="N861" s="6">
        <f>IFERROR(__xludf.DUMMYFUNCTION("IF(REGEXMATCH(A861, ""^00-""), 0, IF(AND(EQ(F861, """"), EQ(G861, """")), 1, 0))"),0.0)</f>
        <v>0</v>
      </c>
      <c r="O861" s="6">
        <f>IFERROR(__xludf.DUMMYFUNCTION("IF(REGEXMATCH(A861, ""^00-""), 0, IF(AND(NE(F861, """"), EQ(G861, """")), 1, 0))"),0.0)</f>
        <v>0</v>
      </c>
      <c r="P861" s="6">
        <f>IFERROR(__xludf.DUMMYFUNCTION("IF(REGEXMATCH(A861, ""^00-""), 0, IF(AND(EQ(F861, """"), NE(G861, """")), 1, 0))"),0.0)</f>
        <v>0</v>
      </c>
      <c r="Q861" s="6">
        <f>IFERROR(__xludf.DUMMYFUNCTION("IF(REGEXMATCH(A861, ""^00-""), 0, IF(AND(NE(F861, """"), NE(G861, """")), 1, 0))"),1.0)</f>
        <v>1</v>
      </c>
      <c r="R861" s="6">
        <f t="shared" si="1"/>
        <v>1</v>
      </c>
    </row>
    <row r="862">
      <c r="A862" s="1" t="s">
        <v>127</v>
      </c>
      <c r="B862" s="1" t="s">
        <v>2367</v>
      </c>
      <c r="C862" s="1">
        <v>428.0</v>
      </c>
      <c r="D862" s="1">
        <v>39.0</v>
      </c>
      <c r="E862" s="1">
        <v>467.0</v>
      </c>
      <c r="F862" s="1" t="s">
        <v>2368</v>
      </c>
      <c r="G862" s="1" t="s">
        <v>2368</v>
      </c>
      <c r="H862" s="1" t="s">
        <v>190</v>
      </c>
      <c r="I862" s="1" t="s">
        <v>2275</v>
      </c>
      <c r="J862" s="1" t="s">
        <v>2276</v>
      </c>
      <c r="K862" s="1" t="s">
        <v>2277</v>
      </c>
      <c r="L862" s="1"/>
      <c r="M862" s="1" t="s">
        <v>191</v>
      </c>
      <c r="N862" s="6">
        <f>IFERROR(__xludf.DUMMYFUNCTION("IF(REGEXMATCH(A862, ""^00-""), 0, IF(AND(EQ(F862, """"), EQ(G862, """")), 1, 0))"),0.0)</f>
        <v>0</v>
      </c>
      <c r="O862" s="6">
        <f>IFERROR(__xludf.DUMMYFUNCTION("IF(REGEXMATCH(A862, ""^00-""), 0, IF(AND(NE(F862, """"), EQ(G862, """")), 1, 0))"),0.0)</f>
        <v>0</v>
      </c>
      <c r="P862" s="6">
        <f>IFERROR(__xludf.DUMMYFUNCTION("IF(REGEXMATCH(A862, ""^00-""), 0, IF(AND(EQ(F862, """"), NE(G862, """")), 1, 0))"),0.0)</f>
        <v>0</v>
      </c>
      <c r="Q862" s="6">
        <f>IFERROR(__xludf.DUMMYFUNCTION("IF(REGEXMATCH(A862, ""^00-""), 0, IF(AND(NE(F862, """"), NE(G862, """")), 1, 0))"),1.0)</f>
        <v>1</v>
      </c>
      <c r="R862" s="6">
        <f t="shared" si="1"/>
        <v>1</v>
      </c>
    </row>
    <row r="863">
      <c r="A863" s="1" t="s">
        <v>127</v>
      </c>
      <c r="B863" s="1" t="s">
        <v>2369</v>
      </c>
      <c r="C863" s="1">
        <v>429.0</v>
      </c>
      <c r="D863" s="1">
        <v>38.0</v>
      </c>
      <c r="E863" s="1">
        <v>467.0</v>
      </c>
      <c r="F863" s="1" t="s">
        <v>2370</v>
      </c>
      <c r="G863" s="1" t="s">
        <v>2370</v>
      </c>
      <c r="H863" s="1" t="s">
        <v>269</v>
      </c>
      <c r="I863" s="1" t="s">
        <v>2275</v>
      </c>
      <c r="J863" s="1" t="s">
        <v>2276</v>
      </c>
      <c r="K863" s="1" t="s">
        <v>2277</v>
      </c>
      <c r="L863" s="1"/>
      <c r="M863" s="1" t="s">
        <v>2334</v>
      </c>
      <c r="N863" s="6">
        <f>IFERROR(__xludf.DUMMYFUNCTION("IF(REGEXMATCH(A863, ""^00-""), 0, IF(AND(EQ(F863, """"), EQ(G863, """")), 1, 0))"),0.0)</f>
        <v>0</v>
      </c>
      <c r="O863" s="6">
        <f>IFERROR(__xludf.DUMMYFUNCTION("IF(REGEXMATCH(A863, ""^00-""), 0, IF(AND(NE(F863, """"), EQ(G863, """")), 1, 0))"),0.0)</f>
        <v>0</v>
      </c>
      <c r="P863" s="6">
        <f>IFERROR(__xludf.DUMMYFUNCTION("IF(REGEXMATCH(A863, ""^00-""), 0, IF(AND(EQ(F863, """"), NE(G863, """")), 1, 0))"),0.0)</f>
        <v>0</v>
      </c>
      <c r="Q863" s="6">
        <f>IFERROR(__xludf.DUMMYFUNCTION("IF(REGEXMATCH(A863, ""^00-""), 0, IF(AND(NE(F863, """"), NE(G863, """")), 1, 0))"),1.0)</f>
        <v>1</v>
      </c>
      <c r="R863" s="6">
        <f t="shared" si="1"/>
        <v>1</v>
      </c>
    </row>
    <row r="864">
      <c r="A864" s="1" t="s">
        <v>127</v>
      </c>
      <c r="B864" s="1" t="s">
        <v>2371</v>
      </c>
      <c r="C864" s="1">
        <v>427.0</v>
      </c>
      <c r="D864" s="1">
        <v>40.0</v>
      </c>
      <c r="E864" s="1">
        <v>467.0</v>
      </c>
      <c r="F864" s="1" t="s">
        <v>2372</v>
      </c>
      <c r="G864" s="1" t="s">
        <v>2372</v>
      </c>
      <c r="H864" s="1" t="s">
        <v>190</v>
      </c>
      <c r="I864" s="1" t="s">
        <v>2275</v>
      </c>
      <c r="J864" s="1" t="s">
        <v>2276</v>
      </c>
      <c r="K864" s="1" t="s">
        <v>2277</v>
      </c>
      <c r="L864" s="1"/>
      <c r="M864" s="1" t="s">
        <v>191</v>
      </c>
      <c r="N864" s="6">
        <f>IFERROR(__xludf.DUMMYFUNCTION("IF(REGEXMATCH(A864, ""^00-""), 0, IF(AND(EQ(F864, """"), EQ(G864, """")), 1, 0))"),0.0)</f>
        <v>0</v>
      </c>
      <c r="O864" s="6">
        <f>IFERROR(__xludf.DUMMYFUNCTION("IF(REGEXMATCH(A864, ""^00-""), 0, IF(AND(NE(F864, """"), EQ(G864, """")), 1, 0))"),0.0)</f>
        <v>0</v>
      </c>
      <c r="P864" s="6">
        <f>IFERROR(__xludf.DUMMYFUNCTION("IF(REGEXMATCH(A864, ""^00-""), 0, IF(AND(EQ(F864, """"), NE(G864, """")), 1, 0))"),0.0)</f>
        <v>0</v>
      </c>
      <c r="Q864" s="6">
        <f>IFERROR(__xludf.DUMMYFUNCTION("IF(REGEXMATCH(A864, ""^00-""), 0, IF(AND(NE(F864, """"), NE(G864, """")), 1, 0))"),1.0)</f>
        <v>1</v>
      </c>
      <c r="R864" s="6">
        <f t="shared" si="1"/>
        <v>1</v>
      </c>
    </row>
    <row r="865">
      <c r="A865" s="1" t="s">
        <v>127</v>
      </c>
      <c r="B865" s="1" t="s">
        <v>2373</v>
      </c>
      <c r="C865" s="1">
        <v>429.0</v>
      </c>
      <c r="D865" s="1">
        <v>38.0</v>
      </c>
      <c r="E865" s="1">
        <v>467.0</v>
      </c>
      <c r="F865" s="1" t="s">
        <v>2374</v>
      </c>
      <c r="G865" s="1" t="s">
        <v>2374</v>
      </c>
      <c r="H865" s="1" t="s">
        <v>269</v>
      </c>
      <c r="I865" s="1" t="s">
        <v>2275</v>
      </c>
      <c r="J865" s="1" t="s">
        <v>2276</v>
      </c>
      <c r="K865" s="1" t="s">
        <v>2277</v>
      </c>
      <c r="L865" s="1"/>
      <c r="M865" s="1" t="s">
        <v>2334</v>
      </c>
      <c r="N865" s="6">
        <f>IFERROR(__xludf.DUMMYFUNCTION("IF(REGEXMATCH(A865, ""^00-""), 0, IF(AND(EQ(F865, """"), EQ(G865, """")), 1, 0))"),0.0)</f>
        <v>0</v>
      </c>
      <c r="O865" s="6">
        <f>IFERROR(__xludf.DUMMYFUNCTION("IF(REGEXMATCH(A865, ""^00-""), 0, IF(AND(NE(F865, """"), EQ(G865, """")), 1, 0))"),0.0)</f>
        <v>0</v>
      </c>
      <c r="P865" s="6">
        <f>IFERROR(__xludf.DUMMYFUNCTION("IF(REGEXMATCH(A865, ""^00-""), 0, IF(AND(EQ(F865, """"), NE(G865, """")), 1, 0))"),0.0)</f>
        <v>0</v>
      </c>
      <c r="Q865" s="6">
        <f>IFERROR(__xludf.DUMMYFUNCTION("IF(REGEXMATCH(A865, ""^00-""), 0, IF(AND(NE(F865, """"), NE(G865, """")), 1, 0))"),1.0)</f>
        <v>1</v>
      </c>
      <c r="R865" s="6">
        <f t="shared" si="1"/>
        <v>1</v>
      </c>
    </row>
    <row r="866">
      <c r="A866" s="1" t="s">
        <v>127</v>
      </c>
      <c r="B866" s="1" t="s">
        <v>2375</v>
      </c>
      <c r="C866" s="1">
        <v>427.0</v>
      </c>
      <c r="D866" s="1">
        <v>40.0</v>
      </c>
      <c r="E866" s="1">
        <v>467.0</v>
      </c>
      <c r="F866" s="1" t="s">
        <v>2376</v>
      </c>
      <c r="G866" s="1" t="s">
        <v>2376</v>
      </c>
      <c r="H866" s="1" t="s">
        <v>190</v>
      </c>
      <c r="I866" s="1" t="s">
        <v>2275</v>
      </c>
      <c r="J866" s="1" t="s">
        <v>2276</v>
      </c>
      <c r="K866" s="1" t="s">
        <v>2277</v>
      </c>
      <c r="L866" s="1"/>
      <c r="M866" s="1" t="s">
        <v>191</v>
      </c>
      <c r="N866" s="6">
        <f>IFERROR(__xludf.DUMMYFUNCTION("IF(REGEXMATCH(A866, ""^00-""), 0, IF(AND(EQ(F866, """"), EQ(G866, """")), 1, 0))"),0.0)</f>
        <v>0</v>
      </c>
      <c r="O866" s="6">
        <f>IFERROR(__xludf.DUMMYFUNCTION("IF(REGEXMATCH(A866, ""^00-""), 0, IF(AND(NE(F866, """"), EQ(G866, """")), 1, 0))"),0.0)</f>
        <v>0</v>
      </c>
      <c r="P866" s="6">
        <f>IFERROR(__xludf.DUMMYFUNCTION("IF(REGEXMATCH(A866, ""^00-""), 0, IF(AND(EQ(F866, """"), NE(G866, """")), 1, 0))"),0.0)</f>
        <v>0</v>
      </c>
      <c r="Q866" s="6">
        <f>IFERROR(__xludf.DUMMYFUNCTION("IF(REGEXMATCH(A866, ""^00-""), 0, IF(AND(NE(F866, """"), NE(G866, """")), 1, 0))"),1.0)</f>
        <v>1</v>
      </c>
      <c r="R866" s="6">
        <f t="shared" si="1"/>
        <v>1</v>
      </c>
    </row>
    <row r="867">
      <c r="A867" s="1" t="s">
        <v>127</v>
      </c>
      <c r="B867" s="1" t="s">
        <v>2377</v>
      </c>
      <c r="C867" s="1">
        <v>430.0</v>
      </c>
      <c r="D867" s="1">
        <v>37.0</v>
      </c>
      <c r="E867" s="1">
        <v>467.0</v>
      </c>
      <c r="F867" s="1" t="s">
        <v>2378</v>
      </c>
      <c r="G867" s="1" t="s">
        <v>2378</v>
      </c>
      <c r="H867" s="1" t="s">
        <v>269</v>
      </c>
      <c r="I867" s="1" t="s">
        <v>2275</v>
      </c>
      <c r="J867" s="1" t="s">
        <v>2276</v>
      </c>
      <c r="K867" s="1" t="s">
        <v>2277</v>
      </c>
      <c r="L867" s="1"/>
      <c r="M867" s="1" t="s">
        <v>2334</v>
      </c>
      <c r="N867" s="6">
        <f>IFERROR(__xludf.DUMMYFUNCTION("IF(REGEXMATCH(A867, ""^00-""), 0, IF(AND(EQ(F867, """"), EQ(G867, """")), 1, 0))"),0.0)</f>
        <v>0</v>
      </c>
      <c r="O867" s="6">
        <f>IFERROR(__xludf.DUMMYFUNCTION("IF(REGEXMATCH(A867, ""^00-""), 0, IF(AND(NE(F867, """"), EQ(G867, """")), 1, 0))"),0.0)</f>
        <v>0</v>
      </c>
      <c r="P867" s="6">
        <f>IFERROR(__xludf.DUMMYFUNCTION("IF(REGEXMATCH(A867, ""^00-""), 0, IF(AND(EQ(F867, """"), NE(G867, """")), 1, 0))"),0.0)</f>
        <v>0</v>
      </c>
      <c r="Q867" s="6">
        <f>IFERROR(__xludf.DUMMYFUNCTION("IF(REGEXMATCH(A867, ""^00-""), 0, IF(AND(NE(F867, """"), NE(G867, """")), 1, 0))"),1.0)</f>
        <v>1</v>
      </c>
      <c r="R867" s="6">
        <f t="shared" si="1"/>
        <v>1</v>
      </c>
    </row>
    <row r="868">
      <c r="A868" s="1" t="s">
        <v>127</v>
      </c>
      <c r="B868" s="1" t="s">
        <v>2379</v>
      </c>
      <c r="C868" s="1">
        <v>428.0</v>
      </c>
      <c r="D868" s="1">
        <v>39.0</v>
      </c>
      <c r="E868" s="1">
        <v>467.0</v>
      </c>
      <c r="F868" s="1" t="s">
        <v>2380</v>
      </c>
      <c r="G868" s="1" t="s">
        <v>2380</v>
      </c>
      <c r="H868" s="1" t="s">
        <v>190</v>
      </c>
      <c r="I868" s="1" t="s">
        <v>2275</v>
      </c>
      <c r="J868" s="1" t="s">
        <v>2276</v>
      </c>
      <c r="K868" s="1" t="s">
        <v>2277</v>
      </c>
      <c r="L868" s="1"/>
      <c r="M868" s="1" t="s">
        <v>191</v>
      </c>
      <c r="N868" s="6">
        <f>IFERROR(__xludf.DUMMYFUNCTION("IF(REGEXMATCH(A868, ""^00-""), 0, IF(AND(EQ(F868, """"), EQ(G868, """")), 1, 0))"),0.0)</f>
        <v>0</v>
      </c>
      <c r="O868" s="6">
        <f>IFERROR(__xludf.DUMMYFUNCTION("IF(REGEXMATCH(A868, ""^00-""), 0, IF(AND(NE(F868, """"), EQ(G868, """")), 1, 0))"),0.0)</f>
        <v>0</v>
      </c>
      <c r="P868" s="6">
        <f>IFERROR(__xludf.DUMMYFUNCTION("IF(REGEXMATCH(A868, ""^00-""), 0, IF(AND(EQ(F868, """"), NE(G868, """")), 1, 0))"),0.0)</f>
        <v>0</v>
      </c>
      <c r="Q868" s="6">
        <f>IFERROR(__xludf.DUMMYFUNCTION("IF(REGEXMATCH(A868, ""^00-""), 0, IF(AND(NE(F868, """"), NE(G868, """")), 1, 0))"),1.0)</f>
        <v>1</v>
      </c>
      <c r="R868" s="6">
        <f t="shared" si="1"/>
        <v>1</v>
      </c>
    </row>
    <row r="869">
      <c r="A869" s="1" t="s">
        <v>127</v>
      </c>
      <c r="B869" s="1" t="s">
        <v>2381</v>
      </c>
      <c r="C869" s="1">
        <v>428.0</v>
      </c>
      <c r="D869" s="1">
        <v>39.0</v>
      </c>
      <c r="E869" s="1">
        <v>467.0</v>
      </c>
      <c r="F869" s="1" t="s">
        <v>2382</v>
      </c>
      <c r="G869" s="1" t="s">
        <v>2382</v>
      </c>
      <c r="H869" s="1" t="s">
        <v>269</v>
      </c>
      <c r="I869" s="1" t="s">
        <v>2275</v>
      </c>
      <c r="J869" s="1" t="s">
        <v>2276</v>
      </c>
      <c r="K869" s="1" t="s">
        <v>2277</v>
      </c>
      <c r="L869" s="1"/>
      <c r="M869" s="1" t="s">
        <v>2334</v>
      </c>
      <c r="N869" s="6">
        <f>IFERROR(__xludf.DUMMYFUNCTION("IF(REGEXMATCH(A869, ""^00-""), 0, IF(AND(EQ(F869, """"), EQ(G869, """")), 1, 0))"),0.0)</f>
        <v>0</v>
      </c>
      <c r="O869" s="6">
        <f>IFERROR(__xludf.DUMMYFUNCTION("IF(REGEXMATCH(A869, ""^00-""), 0, IF(AND(NE(F869, """"), EQ(G869, """")), 1, 0))"),0.0)</f>
        <v>0</v>
      </c>
      <c r="P869" s="6">
        <f>IFERROR(__xludf.DUMMYFUNCTION("IF(REGEXMATCH(A869, ""^00-""), 0, IF(AND(EQ(F869, """"), NE(G869, """")), 1, 0))"),0.0)</f>
        <v>0</v>
      </c>
      <c r="Q869" s="6">
        <f>IFERROR(__xludf.DUMMYFUNCTION("IF(REGEXMATCH(A869, ""^00-""), 0, IF(AND(NE(F869, """"), NE(G869, """")), 1, 0))"),1.0)</f>
        <v>1</v>
      </c>
      <c r="R869" s="6">
        <f t="shared" si="1"/>
        <v>1</v>
      </c>
    </row>
    <row r="870">
      <c r="A870" s="1" t="s">
        <v>127</v>
      </c>
      <c r="B870" s="1" t="s">
        <v>2383</v>
      </c>
      <c r="C870" s="1">
        <v>427.0</v>
      </c>
      <c r="D870" s="1">
        <v>40.0</v>
      </c>
      <c r="E870" s="1">
        <v>467.0</v>
      </c>
      <c r="F870" s="1" t="s">
        <v>2384</v>
      </c>
      <c r="G870" s="1" t="s">
        <v>2384</v>
      </c>
      <c r="H870" s="1" t="s">
        <v>190</v>
      </c>
      <c r="I870" s="1" t="s">
        <v>2275</v>
      </c>
      <c r="J870" s="1" t="s">
        <v>2276</v>
      </c>
      <c r="K870" s="1" t="s">
        <v>2277</v>
      </c>
      <c r="L870" s="1"/>
      <c r="M870" s="1" t="s">
        <v>191</v>
      </c>
      <c r="N870" s="6">
        <f>IFERROR(__xludf.DUMMYFUNCTION("IF(REGEXMATCH(A870, ""^00-""), 0, IF(AND(EQ(F870, """"), EQ(G870, """")), 1, 0))"),0.0)</f>
        <v>0</v>
      </c>
      <c r="O870" s="6">
        <f>IFERROR(__xludf.DUMMYFUNCTION("IF(REGEXMATCH(A870, ""^00-""), 0, IF(AND(NE(F870, """"), EQ(G870, """")), 1, 0))"),0.0)</f>
        <v>0</v>
      </c>
      <c r="P870" s="6">
        <f>IFERROR(__xludf.DUMMYFUNCTION("IF(REGEXMATCH(A870, ""^00-""), 0, IF(AND(EQ(F870, """"), NE(G870, """")), 1, 0))"),0.0)</f>
        <v>0</v>
      </c>
      <c r="Q870" s="6">
        <f>IFERROR(__xludf.DUMMYFUNCTION("IF(REGEXMATCH(A870, ""^00-""), 0, IF(AND(NE(F870, """"), NE(G870, """")), 1, 0))"),1.0)</f>
        <v>1</v>
      </c>
      <c r="R870" s="6">
        <f t="shared" si="1"/>
        <v>1</v>
      </c>
    </row>
    <row r="871">
      <c r="A871" s="1" t="s">
        <v>127</v>
      </c>
      <c r="B871" s="1" t="s">
        <v>2385</v>
      </c>
      <c r="C871" s="1">
        <v>127.0</v>
      </c>
      <c r="D871" s="1">
        <v>340.0</v>
      </c>
      <c r="E871" s="1">
        <v>467.0</v>
      </c>
      <c r="F871" s="1" t="s">
        <v>2386</v>
      </c>
      <c r="G871" s="1" t="s">
        <v>2386</v>
      </c>
      <c r="H871" s="1" t="s">
        <v>171</v>
      </c>
      <c r="I871" s="1" t="s">
        <v>2275</v>
      </c>
      <c r="J871" s="1" t="s">
        <v>2276</v>
      </c>
      <c r="K871" s="1" t="s">
        <v>2277</v>
      </c>
      <c r="L871" s="1"/>
      <c r="M871" s="1" t="s">
        <v>171</v>
      </c>
      <c r="N871" s="6">
        <f>IFERROR(__xludf.DUMMYFUNCTION("IF(REGEXMATCH(A871, ""^00-""), 0, IF(AND(EQ(F871, """"), EQ(G871, """")), 1, 0))"),0.0)</f>
        <v>0</v>
      </c>
      <c r="O871" s="6">
        <f>IFERROR(__xludf.DUMMYFUNCTION("IF(REGEXMATCH(A871, ""^00-""), 0, IF(AND(NE(F871, """"), EQ(G871, """")), 1, 0))"),0.0)</f>
        <v>0</v>
      </c>
      <c r="P871" s="6">
        <f>IFERROR(__xludf.DUMMYFUNCTION("IF(REGEXMATCH(A871, ""^00-""), 0, IF(AND(EQ(F871, """"), NE(G871, """")), 1, 0))"),0.0)</f>
        <v>0</v>
      </c>
      <c r="Q871" s="6">
        <f>IFERROR(__xludf.DUMMYFUNCTION("IF(REGEXMATCH(A871, ""^00-""), 0, IF(AND(NE(F871, """"), NE(G871, """")), 1, 0))"),1.0)</f>
        <v>1</v>
      </c>
      <c r="R871" s="6">
        <f t="shared" si="1"/>
        <v>1</v>
      </c>
    </row>
    <row r="872">
      <c r="A872" s="1" t="s">
        <v>127</v>
      </c>
      <c r="B872" s="1" t="s">
        <v>2387</v>
      </c>
      <c r="C872" s="1">
        <v>428.0</v>
      </c>
      <c r="D872" s="1">
        <v>39.0</v>
      </c>
      <c r="E872" s="1">
        <v>467.0</v>
      </c>
      <c r="F872" s="1" t="s">
        <v>2388</v>
      </c>
      <c r="G872" s="1" t="s">
        <v>2388</v>
      </c>
      <c r="H872" s="1" t="s">
        <v>269</v>
      </c>
      <c r="I872" s="1" t="s">
        <v>2275</v>
      </c>
      <c r="J872" s="1" t="s">
        <v>2276</v>
      </c>
      <c r="K872" s="1" t="s">
        <v>2277</v>
      </c>
      <c r="L872" s="1"/>
      <c r="M872" s="1" t="s">
        <v>2334</v>
      </c>
      <c r="N872" s="6">
        <f>IFERROR(__xludf.DUMMYFUNCTION("IF(REGEXMATCH(A872, ""^00-""), 0, IF(AND(EQ(F872, """"), EQ(G872, """")), 1, 0))"),0.0)</f>
        <v>0</v>
      </c>
      <c r="O872" s="6">
        <f>IFERROR(__xludf.DUMMYFUNCTION("IF(REGEXMATCH(A872, ""^00-""), 0, IF(AND(NE(F872, """"), EQ(G872, """")), 1, 0))"),0.0)</f>
        <v>0</v>
      </c>
      <c r="P872" s="6">
        <f>IFERROR(__xludf.DUMMYFUNCTION("IF(REGEXMATCH(A872, ""^00-""), 0, IF(AND(EQ(F872, """"), NE(G872, """")), 1, 0))"),0.0)</f>
        <v>0</v>
      </c>
      <c r="Q872" s="6">
        <f>IFERROR(__xludf.DUMMYFUNCTION("IF(REGEXMATCH(A872, ""^00-""), 0, IF(AND(NE(F872, """"), NE(G872, """")), 1, 0))"),1.0)</f>
        <v>1</v>
      </c>
      <c r="R872" s="6">
        <f t="shared" si="1"/>
        <v>1</v>
      </c>
    </row>
    <row r="873">
      <c r="A873" s="1" t="s">
        <v>127</v>
      </c>
      <c r="B873" s="1" t="s">
        <v>2389</v>
      </c>
      <c r="C873" s="1">
        <v>428.0</v>
      </c>
      <c r="D873" s="1">
        <v>39.0</v>
      </c>
      <c r="E873" s="1">
        <v>467.0</v>
      </c>
      <c r="F873" s="1" t="s">
        <v>2390</v>
      </c>
      <c r="G873" s="1" t="s">
        <v>2390</v>
      </c>
      <c r="H873" s="1" t="s">
        <v>190</v>
      </c>
      <c r="I873" s="1" t="s">
        <v>2275</v>
      </c>
      <c r="J873" s="1" t="s">
        <v>2276</v>
      </c>
      <c r="K873" s="1" t="s">
        <v>2277</v>
      </c>
      <c r="L873" s="1"/>
      <c r="M873" s="1" t="s">
        <v>191</v>
      </c>
      <c r="N873" s="6">
        <f>IFERROR(__xludf.DUMMYFUNCTION("IF(REGEXMATCH(A873, ""^00-""), 0, IF(AND(EQ(F873, """"), EQ(G873, """")), 1, 0))"),0.0)</f>
        <v>0</v>
      </c>
      <c r="O873" s="6">
        <f>IFERROR(__xludf.DUMMYFUNCTION("IF(REGEXMATCH(A873, ""^00-""), 0, IF(AND(NE(F873, """"), EQ(G873, """")), 1, 0))"),0.0)</f>
        <v>0</v>
      </c>
      <c r="P873" s="6">
        <f>IFERROR(__xludf.DUMMYFUNCTION("IF(REGEXMATCH(A873, ""^00-""), 0, IF(AND(EQ(F873, """"), NE(G873, """")), 1, 0))"),0.0)</f>
        <v>0</v>
      </c>
      <c r="Q873" s="6">
        <f>IFERROR(__xludf.DUMMYFUNCTION("IF(REGEXMATCH(A873, ""^00-""), 0, IF(AND(NE(F873, """"), NE(G873, """")), 1, 0))"),1.0)</f>
        <v>1</v>
      </c>
      <c r="R873" s="6">
        <f t="shared" si="1"/>
        <v>1</v>
      </c>
    </row>
    <row r="874">
      <c r="A874" s="1" t="s">
        <v>127</v>
      </c>
      <c r="B874" s="1" t="s">
        <v>2391</v>
      </c>
      <c r="C874" s="1">
        <v>139.0</v>
      </c>
      <c r="D874" s="1">
        <v>328.0</v>
      </c>
      <c r="E874" s="1">
        <v>467.0</v>
      </c>
      <c r="F874" s="1" t="s">
        <v>2392</v>
      </c>
      <c r="G874" s="1"/>
      <c r="H874" s="1" t="s">
        <v>269</v>
      </c>
      <c r="I874" s="1" t="s">
        <v>2275</v>
      </c>
      <c r="J874" s="1" t="s">
        <v>2276</v>
      </c>
      <c r="K874" s="1" t="s">
        <v>2277</v>
      </c>
      <c r="L874" s="1"/>
      <c r="M874" s="1" t="s">
        <v>2334</v>
      </c>
      <c r="N874" s="6">
        <f>IFERROR(__xludf.DUMMYFUNCTION("IF(REGEXMATCH(A874, ""^00-""), 0, IF(AND(EQ(F874, """"), EQ(G874, """")), 1, 0))"),0.0)</f>
        <v>0</v>
      </c>
      <c r="O874" s="6">
        <f>IFERROR(__xludf.DUMMYFUNCTION("IF(REGEXMATCH(A874, ""^00-""), 0, IF(AND(NE(F874, """"), EQ(G874, """")), 1, 0))"),1.0)</f>
        <v>1</v>
      </c>
      <c r="P874" s="6">
        <f>IFERROR(__xludf.DUMMYFUNCTION("IF(REGEXMATCH(A874, ""^00-""), 0, IF(AND(EQ(F874, """"), NE(G874, """")), 1, 0))"),0.0)</f>
        <v>0</v>
      </c>
      <c r="Q874" s="6">
        <f>IFERROR(__xludf.DUMMYFUNCTION("IF(REGEXMATCH(A874, ""^00-""), 0, IF(AND(NE(F874, """"), NE(G874, """")), 1, 0))"),0.0)</f>
        <v>0</v>
      </c>
      <c r="R874" s="6">
        <f t="shared" si="1"/>
        <v>1</v>
      </c>
    </row>
    <row r="875">
      <c r="A875" s="1" t="s">
        <v>127</v>
      </c>
      <c r="B875" s="1" t="s">
        <v>2393</v>
      </c>
      <c r="C875" s="1">
        <v>140.0</v>
      </c>
      <c r="D875" s="1">
        <v>327.0</v>
      </c>
      <c r="E875" s="1">
        <v>467.0</v>
      </c>
      <c r="F875" s="1" t="s">
        <v>2394</v>
      </c>
      <c r="G875" s="1"/>
      <c r="H875" s="1" t="s">
        <v>190</v>
      </c>
      <c r="I875" s="1" t="s">
        <v>2275</v>
      </c>
      <c r="J875" s="1" t="s">
        <v>2276</v>
      </c>
      <c r="K875" s="1" t="s">
        <v>2277</v>
      </c>
      <c r="L875" s="1"/>
      <c r="M875" s="1" t="s">
        <v>191</v>
      </c>
      <c r="N875" s="6">
        <f>IFERROR(__xludf.DUMMYFUNCTION("IF(REGEXMATCH(A875, ""^00-""), 0, IF(AND(EQ(F875, """"), EQ(G875, """")), 1, 0))"),0.0)</f>
        <v>0</v>
      </c>
      <c r="O875" s="6">
        <f>IFERROR(__xludf.DUMMYFUNCTION("IF(REGEXMATCH(A875, ""^00-""), 0, IF(AND(NE(F875, """"), EQ(G875, """")), 1, 0))"),1.0)</f>
        <v>1</v>
      </c>
      <c r="P875" s="6">
        <f>IFERROR(__xludf.DUMMYFUNCTION("IF(REGEXMATCH(A875, ""^00-""), 0, IF(AND(EQ(F875, """"), NE(G875, """")), 1, 0))"),0.0)</f>
        <v>0</v>
      </c>
      <c r="Q875" s="6">
        <f>IFERROR(__xludf.DUMMYFUNCTION("IF(REGEXMATCH(A875, ""^00-""), 0, IF(AND(NE(F875, """"), NE(G875, """")), 1, 0))"),0.0)</f>
        <v>0</v>
      </c>
      <c r="R875" s="6">
        <f t="shared" si="1"/>
        <v>1</v>
      </c>
    </row>
    <row r="876">
      <c r="A876" s="1" t="s">
        <v>127</v>
      </c>
      <c r="B876" s="1" t="s">
        <v>2395</v>
      </c>
      <c r="C876" s="1">
        <v>430.0</v>
      </c>
      <c r="D876" s="1">
        <v>37.0</v>
      </c>
      <c r="E876" s="1">
        <v>467.0</v>
      </c>
      <c r="F876" s="1" t="s">
        <v>2396</v>
      </c>
      <c r="G876" s="1" t="s">
        <v>2396</v>
      </c>
      <c r="H876" s="1" t="s">
        <v>190</v>
      </c>
      <c r="I876" s="1" t="s">
        <v>2275</v>
      </c>
      <c r="J876" s="1" t="s">
        <v>2276</v>
      </c>
      <c r="K876" s="1" t="s">
        <v>2277</v>
      </c>
      <c r="L876" s="1"/>
      <c r="M876" s="1" t="s">
        <v>191</v>
      </c>
      <c r="N876" s="6">
        <f>IFERROR(__xludf.DUMMYFUNCTION("IF(REGEXMATCH(A876, ""^00-""), 0, IF(AND(EQ(F876, """"), EQ(G876, """")), 1, 0))"),0.0)</f>
        <v>0</v>
      </c>
      <c r="O876" s="6">
        <f>IFERROR(__xludf.DUMMYFUNCTION("IF(REGEXMATCH(A876, ""^00-""), 0, IF(AND(NE(F876, """"), EQ(G876, """")), 1, 0))"),0.0)</f>
        <v>0</v>
      </c>
      <c r="P876" s="6">
        <f>IFERROR(__xludf.DUMMYFUNCTION("IF(REGEXMATCH(A876, ""^00-""), 0, IF(AND(EQ(F876, """"), NE(G876, """")), 1, 0))"),0.0)</f>
        <v>0</v>
      </c>
      <c r="Q876" s="6">
        <f>IFERROR(__xludf.DUMMYFUNCTION("IF(REGEXMATCH(A876, ""^00-""), 0, IF(AND(NE(F876, """"), NE(G876, """")), 1, 0))"),1.0)</f>
        <v>1</v>
      </c>
      <c r="R876" s="6">
        <f t="shared" si="1"/>
        <v>1</v>
      </c>
    </row>
    <row r="877">
      <c r="A877" s="1" t="s">
        <v>127</v>
      </c>
      <c r="B877" s="1" t="s">
        <v>2397</v>
      </c>
      <c r="C877" s="1">
        <v>430.0</v>
      </c>
      <c r="D877" s="1">
        <v>37.0</v>
      </c>
      <c r="E877" s="1">
        <v>467.0</v>
      </c>
      <c r="F877" s="1" t="s">
        <v>2398</v>
      </c>
      <c r="G877" s="1" t="s">
        <v>2398</v>
      </c>
      <c r="H877" s="1" t="s">
        <v>190</v>
      </c>
      <c r="I877" s="1" t="s">
        <v>2275</v>
      </c>
      <c r="J877" s="1" t="s">
        <v>2276</v>
      </c>
      <c r="K877" s="1" t="s">
        <v>2277</v>
      </c>
      <c r="L877" s="1"/>
      <c r="M877" s="1" t="s">
        <v>191</v>
      </c>
      <c r="N877" s="6">
        <f>IFERROR(__xludf.DUMMYFUNCTION("IF(REGEXMATCH(A877, ""^00-""), 0, IF(AND(EQ(F877, """"), EQ(G877, """")), 1, 0))"),0.0)</f>
        <v>0</v>
      </c>
      <c r="O877" s="6">
        <f>IFERROR(__xludf.DUMMYFUNCTION("IF(REGEXMATCH(A877, ""^00-""), 0, IF(AND(NE(F877, """"), EQ(G877, """")), 1, 0))"),0.0)</f>
        <v>0</v>
      </c>
      <c r="P877" s="6">
        <f>IFERROR(__xludf.DUMMYFUNCTION("IF(REGEXMATCH(A877, ""^00-""), 0, IF(AND(EQ(F877, """"), NE(G877, """")), 1, 0))"),0.0)</f>
        <v>0</v>
      </c>
      <c r="Q877" s="6">
        <f>IFERROR(__xludf.DUMMYFUNCTION("IF(REGEXMATCH(A877, ""^00-""), 0, IF(AND(NE(F877, """"), NE(G877, """")), 1, 0))"),1.0)</f>
        <v>1</v>
      </c>
      <c r="R877" s="6">
        <f t="shared" si="1"/>
        <v>1</v>
      </c>
    </row>
    <row r="878">
      <c r="A878" s="1" t="s">
        <v>127</v>
      </c>
      <c r="B878" s="1" t="s">
        <v>2399</v>
      </c>
      <c r="C878" s="1">
        <v>430.0</v>
      </c>
      <c r="D878" s="1">
        <v>37.0</v>
      </c>
      <c r="E878" s="1">
        <v>467.0</v>
      </c>
      <c r="F878" s="1" t="s">
        <v>2400</v>
      </c>
      <c r="G878" s="1" t="s">
        <v>2400</v>
      </c>
      <c r="H878" s="1" t="s">
        <v>190</v>
      </c>
      <c r="I878" s="1" t="s">
        <v>2275</v>
      </c>
      <c r="J878" s="1" t="s">
        <v>2276</v>
      </c>
      <c r="K878" s="1" t="s">
        <v>2277</v>
      </c>
      <c r="L878" s="1"/>
      <c r="M878" s="1" t="s">
        <v>191</v>
      </c>
      <c r="N878" s="6">
        <f>IFERROR(__xludf.DUMMYFUNCTION("IF(REGEXMATCH(A878, ""^00-""), 0, IF(AND(EQ(F878, """"), EQ(G878, """")), 1, 0))"),0.0)</f>
        <v>0</v>
      </c>
      <c r="O878" s="6">
        <f>IFERROR(__xludf.DUMMYFUNCTION("IF(REGEXMATCH(A878, ""^00-""), 0, IF(AND(NE(F878, """"), EQ(G878, """")), 1, 0))"),0.0)</f>
        <v>0</v>
      </c>
      <c r="P878" s="6">
        <f>IFERROR(__xludf.DUMMYFUNCTION("IF(REGEXMATCH(A878, ""^00-""), 0, IF(AND(EQ(F878, """"), NE(G878, """")), 1, 0))"),0.0)</f>
        <v>0</v>
      </c>
      <c r="Q878" s="6">
        <f>IFERROR(__xludf.DUMMYFUNCTION("IF(REGEXMATCH(A878, ""^00-""), 0, IF(AND(NE(F878, """"), NE(G878, """")), 1, 0))"),1.0)</f>
        <v>1</v>
      </c>
      <c r="R878" s="6">
        <f t="shared" si="1"/>
        <v>1</v>
      </c>
    </row>
    <row r="879">
      <c r="A879" s="1" t="s">
        <v>127</v>
      </c>
      <c r="B879" s="1" t="s">
        <v>2401</v>
      </c>
      <c r="C879" s="1">
        <v>202.0</v>
      </c>
      <c r="D879" s="1">
        <v>265.0</v>
      </c>
      <c r="E879" s="1">
        <v>467.0</v>
      </c>
      <c r="F879" s="1" t="s">
        <v>2402</v>
      </c>
      <c r="G879" s="1" t="s">
        <v>2402</v>
      </c>
      <c r="H879" s="1" t="s">
        <v>190</v>
      </c>
      <c r="I879" s="1" t="s">
        <v>2275</v>
      </c>
      <c r="J879" s="1" t="s">
        <v>2276</v>
      </c>
      <c r="K879" s="1" t="s">
        <v>2277</v>
      </c>
      <c r="L879" s="1"/>
      <c r="M879" s="1" t="s">
        <v>191</v>
      </c>
      <c r="N879" s="6">
        <f>IFERROR(__xludf.DUMMYFUNCTION("IF(REGEXMATCH(A879, ""^00-""), 0, IF(AND(EQ(F879, """"), EQ(G879, """")), 1, 0))"),0.0)</f>
        <v>0</v>
      </c>
      <c r="O879" s="6">
        <f>IFERROR(__xludf.DUMMYFUNCTION("IF(REGEXMATCH(A879, ""^00-""), 0, IF(AND(NE(F879, """"), EQ(G879, """")), 1, 0))"),0.0)</f>
        <v>0</v>
      </c>
      <c r="P879" s="6">
        <f>IFERROR(__xludf.DUMMYFUNCTION("IF(REGEXMATCH(A879, ""^00-""), 0, IF(AND(EQ(F879, """"), NE(G879, """")), 1, 0))"),0.0)</f>
        <v>0</v>
      </c>
      <c r="Q879" s="6">
        <f>IFERROR(__xludf.DUMMYFUNCTION("IF(REGEXMATCH(A879, ""^00-""), 0, IF(AND(NE(F879, """"), NE(G879, """")), 1, 0))"),1.0)</f>
        <v>1</v>
      </c>
      <c r="R879" s="6">
        <f t="shared" si="1"/>
        <v>1</v>
      </c>
    </row>
    <row r="880">
      <c r="A880" s="1" t="s">
        <v>127</v>
      </c>
      <c r="B880" s="1" t="s">
        <v>2403</v>
      </c>
      <c r="C880" s="1">
        <v>74.0</v>
      </c>
      <c r="D880" s="1">
        <v>393.0</v>
      </c>
      <c r="E880" s="1">
        <v>467.0</v>
      </c>
      <c r="F880" s="1" t="s">
        <v>2404</v>
      </c>
      <c r="G880" s="1" t="s">
        <v>2404</v>
      </c>
      <c r="H880" s="1" t="s">
        <v>182</v>
      </c>
      <c r="I880" s="1" t="s">
        <v>2275</v>
      </c>
      <c r="J880" s="1" t="s">
        <v>2276</v>
      </c>
      <c r="K880" s="1" t="s">
        <v>2277</v>
      </c>
      <c r="L880" s="1"/>
      <c r="M880" s="1" t="s">
        <v>185</v>
      </c>
      <c r="N880" s="6">
        <f>IFERROR(__xludf.DUMMYFUNCTION("IF(REGEXMATCH(A880, ""^00-""), 0, IF(AND(EQ(F880, """"), EQ(G880, """")), 1, 0))"),0.0)</f>
        <v>0</v>
      </c>
      <c r="O880" s="6">
        <f>IFERROR(__xludf.DUMMYFUNCTION("IF(REGEXMATCH(A880, ""^00-""), 0, IF(AND(NE(F880, """"), EQ(G880, """")), 1, 0))"),0.0)</f>
        <v>0</v>
      </c>
      <c r="P880" s="6">
        <f>IFERROR(__xludf.DUMMYFUNCTION("IF(REGEXMATCH(A880, ""^00-""), 0, IF(AND(EQ(F880, """"), NE(G880, """")), 1, 0))"),0.0)</f>
        <v>0</v>
      </c>
      <c r="Q880" s="6">
        <f>IFERROR(__xludf.DUMMYFUNCTION("IF(REGEXMATCH(A880, ""^00-""), 0, IF(AND(NE(F880, """"), NE(G880, """")), 1, 0))"),1.0)</f>
        <v>1</v>
      </c>
      <c r="R880" s="6">
        <f t="shared" si="1"/>
        <v>1</v>
      </c>
    </row>
    <row r="881">
      <c r="A881" s="1" t="s">
        <v>127</v>
      </c>
      <c r="B881" s="1" t="s">
        <v>2405</v>
      </c>
      <c r="C881" s="1">
        <v>202.0</v>
      </c>
      <c r="D881" s="1">
        <v>265.0</v>
      </c>
      <c r="E881" s="1">
        <v>467.0</v>
      </c>
      <c r="F881" s="1" t="s">
        <v>2406</v>
      </c>
      <c r="G881" s="1" t="s">
        <v>2406</v>
      </c>
      <c r="H881" s="1" t="s">
        <v>190</v>
      </c>
      <c r="I881" s="1" t="s">
        <v>2275</v>
      </c>
      <c r="J881" s="1" t="s">
        <v>2276</v>
      </c>
      <c r="K881" s="1" t="s">
        <v>2277</v>
      </c>
      <c r="L881" s="1"/>
      <c r="M881" s="1" t="s">
        <v>191</v>
      </c>
      <c r="N881" s="6">
        <f>IFERROR(__xludf.DUMMYFUNCTION("IF(REGEXMATCH(A881, ""^00-""), 0, IF(AND(EQ(F881, """"), EQ(G881, """")), 1, 0))"),0.0)</f>
        <v>0</v>
      </c>
      <c r="O881" s="6">
        <f>IFERROR(__xludf.DUMMYFUNCTION("IF(REGEXMATCH(A881, ""^00-""), 0, IF(AND(NE(F881, """"), EQ(G881, """")), 1, 0))"),0.0)</f>
        <v>0</v>
      </c>
      <c r="P881" s="6">
        <f>IFERROR(__xludf.DUMMYFUNCTION("IF(REGEXMATCH(A881, ""^00-""), 0, IF(AND(EQ(F881, """"), NE(G881, """")), 1, 0))"),0.0)</f>
        <v>0</v>
      </c>
      <c r="Q881" s="6">
        <f>IFERROR(__xludf.DUMMYFUNCTION("IF(REGEXMATCH(A881, ""^00-""), 0, IF(AND(NE(F881, """"), NE(G881, """")), 1, 0))"),1.0)</f>
        <v>1</v>
      </c>
      <c r="R881" s="6">
        <f t="shared" si="1"/>
        <v>1</v>
      </c>
    </row>
    <row r="882">
      <c r="A882" s="1" t="s">
        <v>127</v>
      </c>
      <c r="B882" s="1" t="s">
        <v>2407</v>
      </c>
      <c r="C882" s="1">
        <v>6.0</v>
      </c>
      <c r="D882" s="1">
        <v>461.0</v>
      </c>
      <c r="E882" s="1">
        <v>467.0</v>
      </c>
      <c r="F882" s="1" t="s">
        <v>2408</v>
      </c>
      <c r="G882" s="1" t="s">
        <v>2408</v>
      </c>
      <c r="H882" s="1" t="s">
        <v>182</v>
      </c>
      <c r="I882" s="1" t="s">
        <v>2275</v>
      </c>
      <c r="J882" s="1" t="s">
        <v>2276</v>
      </c>
      <c r="K882" s="1" t="s">
        <v>2277</v>
      </c>
      <c r="L882" s="1"/>
      <c r="M882" s="1" t="s">
        <v>185</v>
      </c>
      <c r="N882" s="6">
        <f>IFERROR(__xludf.DUMMYFUNCTION("IF(REGEXMATCH(A882, ""^00-""), 0, IF(AND(EQ(F882, """"), EQ(G882, """")), 1, 0))"),0.0)</f>
        <v>0</v>
      </c>
      <c r="O882" s="6">
        <f>IFERROR(__xludf.DUMMYFUNCTION("IF(REGEXMATCH(A882, ""^00-""), 0, IF(AND(NE(F882, """"), EQ(G882, """")), 1, 0))"),0.0)</f>
        <v>0</v>
      </c>
      <c r="P882" s="6">
        <f>IFERROR(__xludf.DUMMYFUNCTION("IF(REGEXMATCH(A882, ""^00-""), 0, IF(AND(EQ(F882, """"), NE(G882, """")), 1, 0))"),0.0)</f>
        <v>0</v>
      </c>
      <c r="Q882" s="6">
        <f>IFERROR(__xludf.DUMMYFUNCTION("IF(REGEXMATCH(A882, ""^00-""), 0, IF(AND(NE(F882, """"), NE(G882, """")), 1, 0))"),1.0)</f>
        <v>1</v>
      </c>
      <c r="R882" s="6">
        <f t="shared" si="1"/>
        <v>1</v>
      </c>
    </row>
    <row r="883">
      <c r="A883" s="1" t="s">
        <v>127</v>
      </c>
      <c r="B883" s="1" t="s">
        <v>2409</v>
      </c>
      <c r="C883" s="1">
        <v>6.0</v>
      </c>
      <c r="D883" s="1">
        <v>461.0</v>
      </c>
      <c r="E883" s="1">
        <v>467.0</v>
      </c>
      <c r="F883" s="1" t="s">
        <v>2410</v>
      </c>
      <c r="G883" s="1" t="s">
        <v>2410</v>
      </c>
      <c r="H883" s="1" t="s">
        <v>235</v>
      </c>
      <c r="I883" s="1" t="s">
        <v>2275</v>
      </c>
      <c r="J883" s="1" t="s">
        <v>2276</v>
      </c>
      <c r="K883" s="1" t="s">
        <v>2277</v>
      </c>
      <c r="L883" s="1"/>
      <c r="M883" s="1" t="s">
        <v>2411</v>
      </c>
      <c r="N883" s="6">
        <f>IFERROR(__xludf.DUMMYFUNCTION("IF(REGEXMATCH(A883, ""^00-""), 0, IF(AND(EQ(F883, """"), EQ(G883, """")), 1, 0))"),0.0)</f>
        <v>0</v>
      </c>
      <c r="O883" s="6">
        <f>IFERROR(__xludf.DUMMYFUNCTION("IF(REGEXMATCH(A883, ""^00-""), 0, IF(AND(NE(F883, """"), EQ(G883, """")), 1, 0))"),0.0)</f>
        <v>0</v>
      </c>
      <c r="P883" s="6">
        <f>IFERROR(__xludf.DUMMYFUNCTION("IF(REGEXMATCH(A883, ""^00-""), 0, IF(AND(EQ(F883, """"), NE(G883, """")), 1, 0))"),0.0)</f>
        <v>0</v>
      </c>
      <c r="Q883" s="6">
        <f>IFERROR(__xludf.DUMMYFUNCTION("IF(REGEXMATCH(A883, ""^00-""), 0, IF(AND(NE(F883, """"), NE(G883, """")), 1, 0))"),1.0)</f>
        <v>1</v>
      </c>
      <c r="R883" s="6">
        <f t="shared" si="1"/>
        <v>1</v>
      </c>
    </row>
    <row r="884">
      <c r="A884" s="1" t="s">
        <v>127</v>
      </c>
      <c r="B884" s="1" t="s">
        <v>2412</v>
      </c>
      <c r="C884" s="1">
        <v>202.0</v>
      </c>
      <c r="D884" s="1">
        <v>265.0</v>
      </c>
      <c r="E884" s="1">
        <v>467.0</v>
      </c>
      <c r="F884" s="1" t="s">
        <v>2413</v>
      </c>
      <c r="G884" s="1" t="s">
        <v>2413</v>
      </c>
      <c r="H884" s="1" t="s">
        <v>190</v>
      </c>
      <c r="I884" s="1" t="s">
        <v>2275</v>
      </c>
      <c r="J884" s="1" t="s">
        <v>2276</v>
      </c>
      <c r="K884" s="1" t="s">
        <v>2277</v>
      </c>
      <c r="L884" s="1"/>
      <c r="M884" s="1" t="s">
        <v>191</v>
      </c>
      <c r="N884" s="6">
        <f>IFERROR(__xludf.DUMMYFUNCTION("IF(REGEXMATCH(A884, ""^00-""), 0, IF(AND(EQ(F884, """"), EQ(G884, """")), 1, 0))"),0.0)</f>
        <v>0</v>
      </c>
      <c r="O884" s="6">
        <f>IFERROR(__xludf.DUMMYFUNCTION("IF(REGEXMATCH(A884, ""^00-""), 0, IF(AND(NE(F884, """"), EQ(G884, """")), 1, 0))"),0.0)</f>
        <v>0</v>
      </c>
      <c r="P884" s="6">
        <f>IFERROR(__xludf.DUMMYFUNCTION("IF(REGEXMATCH(A884, ""^00-""), 0, IF(AND(EQ(F884, """"), NE(G884, """")), 1, 0))"),0.0)</f>
        <v>0</v>
      </c>
      <c r="Q884" s="6">
        <f>IFERROR(__xludf.DUMMYFUNCTION("IF(REGEXMATCH(A884, ""^00-""), 0, IF(AND(NE(F884, """"), NE(G884, """")), 1, 0))"),1.0)</f>
        <v>1</v>
      </c>
      <c r="R884" s="6">
        <f t="shared" si="1"/>
        <v>1</v>
      </c>
    </row>
    <row r="885">
      <c r="A885" s="1" t="s">
        <v>127</v>
      </c>
      <c r="B885" s="1" t="s">
        <v>2414</v>
      </c>
      <c r="C885" s="1">
        <v>45.0</v>
      </c>
      <c r="D885" s="1">
        <v>422.0</v>
      </c>
      <c r="E885" s="1">
        <v>467.0</v>
      </c>
      <c r="F885" s="1" t="s">
        <v>2415</v>
      </c>
      <c r="G885" s="1" t="s">
        <v>2415</v>
      </c>
      <c r="H885" s="1" t="s">
        <v>182</v>
      </c>
      <c r="I885" s="1" t="s">
        <v>2275</v>
      </c>
      <c r="J885" s="1" t="s">
        <v>2276</v>
      </c>
      <c r="K885" s="1" t="s">
        <v>2277</v>
      </c>
      <c r="L885" s="1"/>
      <c r="M885" s="1" t="s">
        <v>185</v>
      </c>
      <c r="N885" s="6">
        <f>IFERROR(__xludf.DUMMYFUNCTION("IF(REGEXMATCH(A885, ""^00-""), 0, IF(AND(EQ(F885, """"), EQ(G885, """")), 1, 0))"),0.0)</f>
        <v>0</v>
      </c>
      <c r="O885" s="6">
        <f>IFERROR(__xludf.DUMMYFUNCTION("IF(REGEXMATCH(A885, ""^00-""), 0, IF(AND(NE(F885, """"), EQ(G885, """")), 1, 0))"),0.0)</f>
        <v>0</v>
      </c>
      <c r="P885" s="6">
        <f>IFERROR(__xludf.DUMMYFUNCTION("IF(REGEXMATCH(A885, ""^00-""), 0, IF(AND(EQ(F885, """"), NE(G885, """")), 1, 0))"),0.0)</f>
        <v>0</v>
      </c>
      <c r="Q885" s="6">
        <f>IFERROR(__xludf.DUMMYFUNCTION("IF(REGEXMATCH(A885, ""^00-""), 0, IF(AND(NE(F885, """"), NE(G885, """")), 1, 0))"),1.0)</f>
        <v>1</v>
      </c>
      <c r="R885" s="6">
        <f t="shared" si="1"/>
        <v>1</v>
      </c>
    </row>
    <row r="886">
      <c r="A886" s="1" t="s">
        <v>127</v>
      </c>
      <c r="B886" s="1" t="s">
        <v>2416</v>
      </c>
      <c r="C886" s="1">
        <v>44.0</v>
      </c>
      <c r="D886" s="1">
        <v>423.0</v>
      </c>
      <c r="E886" s="1">
        <v>467.0</v>
      </c>
      <c r="F886" s="1" t="s">
        <v>2417</v>
      </c>
      <c r="G886" s="1" t="s">
        <v>2417</v>
      </c>
      <c r="H886" s="1" t="s">
        <v>235</v>
      </c>
      <c r="I886" s="1" t="s">
        <v>2275</v>
      </c>
      <c r="J886" s="1" t="s">
        <v>2276</v>
      </c>
      <c r="K886" s="1" t="s">
        <v>2277</v>
      </c>
      <c r="L886" s="1"/>
      <c r="M886" s="1" t="s">
        <v>2411</v>
      </c>
      <c r="N886" s="6">
        <f>IFERROR(__xludf.DUMMYFUNCTION("IF(REGEXMATCH(A886, ""^00-""), 0, IF(AND(EQ(F886, """"), EQ(G886, """")), 1, 0))"),0.0)</f>
        <v>0</v>
      </c>
      <c r="O886" s="6">
        <f>IFERROR(__xludf.DUMMYFUNCTION("IF(REGEXMATCH(A886, ""^00-""), 0, IF(AND(NE(F886, """"), EQ(G886, """")), 1, 0))"),0.0)</f>
        <v>0</v>
      </c>
      <c r="P886" s="6">
        <f>IFERROR(__xludf.DUMMYFUNCTION("IF(REGEXMATCH(A886, ""^00-""), 0, IF(AND(EQ(F886, """"), NE(G886, """")), 1, 0))"),0.0)</f>
        <v>0</v>
      </c>
      <c r="Q886" s="6">
        <f>IFERROR(__xludf.DUMMYFUNCTION("IF(REGEXMATCH(A886, ""^00-""), 0, IF(AND(NE(F886, """"), NE(G886, """")), 1, 0))"),1.0)</f>
        <v>1</v>
      </c>
      <c r="R886" s="6">
        <f t="shared" si="1"/>
        <v>1</v>
      </c>
    </row>
    <row r="887">
      <c r="A887" s="1" t="s">
        <v>127</v>
      </c>
      <c r="B887" s="1" t="s">
        <v>2418</v>
      </c>
      <c r="C887" s="1">
        <v>202.0</v>
      </c>
      <c r="D887" s="1">
        <v>265.0</v>
      </c>
      <c r="E887" s="1">
        <v>467.0</v>
      </c>
      <c r="F887" s="1" t="s">
        <v>2419</v>
      </c>
      <c r="G887" s="1" t="s">
        <v>2419</v>
      </c>
      <c r="H887" s="1" t="s">
        <v>190</v>
      </c>
      <c r="I887" s="1" t="s">
        <v>2275</v>
      </c>
      <c r="J887" s="1" t="s">
        <v>2276</v>
      </c>
      <c r="K887" s="1" t="s">
        <v>2277</v>
      </c>
      <c r="L887" s="1"/>
      <c r="M887" s="1" t="s">
        <v>191</v>
      </c>
      <c r="N887" s="6">
        <f>IFERROR(__xludf.DUMMYFUNCTION("IF(REGEXMATCH(A887, ""^00-""), 0, IF(AND(EQ(F887, """"), EQ(G887, """")), 1, 0))"),0.0)</f>
        <v>0</v>
      </c>
      <c r="O887" s="6">
        <f>IFERROR(__xludf.DUMMYFUNCTION("IF(REGEXMATCH(A887, ""^00-""), 0, IF(AND(NE(F887, """"), EQ(G887, """")), 1, 0))"),0.0)</f>
        <v>0</v>
      </c>
      <c r="P887" s="6">
        <f>IFERROR(__xludf.DUMMYFUNCTION("IF(REGEXMATCH(A887, ""^00-""), 0, IF(AND(EQ(F887, """"), NE(G887, """")), 1, 0))"),0.0)</f>
        <v>0</v>
      </c>
      <c r="Q887" s="6">
        <f>IFERROR(__xludf.DUMMYFUNCTION("IF(REGEXMATCH(A887, ""^00-""), 0, IF(AND(NE(F887, """"), NE(G887, """")), 1, 0))"),1.0)</f>
        <v>1</v>
      </c>
      <c r="R887" s="6">
        <f t="shared" si="1"/>
        <v>1</v>
      </c>
    </row>
    <row r="888">
      <c r="A888" s="1" t="s">
        <v>127</v>
      </c>
      <c r="B888" s="1" t="s">
        <v>2420</v>
      </c>
      <c r="C888" s="1">
        <v>90.0</v>
      </c>
      <c r="D888" s="1">
        <v>377.0</v>
      </c>
      <c r="E888" s="1">
        <v>467.0</v>
      </c>
      <c r="F888" s="1" t="s">
        <v>2421</v>
      </c>
      <c r="G888" s="1" t="s">
        <v>2421</v>
      </c>
      <c r="H888" s="1" t="s">
        <v>182</v>
      </c>
      <c r="I888" s="1" t="s">
        <v>2275</v>
      </c>
      <c r="J888" s="1" t="s">
        <v>2276</v>
      </c>
      <c r="K888" s="1" t="s">
        <v>2277</v>
      </c>
      <c r="L888" s="1"/>
      <c r="M888" s="1" t="s">
        <v>185</v>
      </c>
      <c r="N888" s="6">
        <f>IFERROR(__xludf.DUMMYFUNCTION("IF(REGEXMATCH(A888, ""^00-""), 0, IF(AND(EQ(F888, """"), EQ(G888, """")), 1, 0))"),0.0)</f>
        <v>0</v>
      </c>
      <c r="O888" s="6">
        <f>IFERROR(__xludf.DUMMYFUNCTION("IF(REGEXMATCH(A888, ""^00-""), 0, IF(AND(NE(F888, """"), EQ(G888, """")), 1, 0))"),0.0)</f>
        <v>0</v>
      </c>
      <c r="P888" s="6">
        <f>IFERROR(__xludf.DUMMYFUNCTION("IF(REGEXMATCH(A888, ""^00-""), 0, IF(AND(EQ(F888, """"), NE(G888, """")), 1, 0))"),0.0)</f>
        <v>0</v>
      </c>
      <c r="Q888" s="6">
        <f>IFERROR(__xludf.DUMMYFUNCTION("IF(REGEXMATCH(A888, ""^00-""), 0, IF(AND(NE(F888, """"), NE(G888, """")), 1, 0))"),1.0)</f>
        <v>1</v>
      </c>
      <c r="R888" s="6">
        <f t="shared" si="1"/>
        <v>1</v>
      </c>
    </row>
    <row r="889">
      <c r="A889" s="1" t="s">
        <v>127</v>
      </c>
      <c r="B889" s="1" t="s">
        <v>2422</v>
      </c>
      <c r="C889" s="1">
        <v>92.0</v>
      </c>
      <c r="D889" s="1">
        <v>375.0</v>
      </c>
      <c r="E889" s="1">
        <v>467.0</v>
      </c>
      <c r="F889" s="1" t="s">
        <v>2423</v>
      </c>
      <c r="G889" s="1" t="s">
        <v>2423</v>
      </c>
      <c r="H889" s="1" t="s">
        <v>269</v>
      </c>
      <c r="I889" s="1" t="s">
        <v>2275</v>
      </c>
      <c r="J889" s="1" t="s">
        <v>2276</v>
      </c>
      <c r="K889" s="1" t="s">
        <v>2277</v>
      </c>
      <c r="L889" s="1"/>
      <c r="M889" s="1" t="s">
        <v>2422</v>
      </c>
      <c r="N889" s="6">
        <f>IFERROR(__xludf.DUMMYFUNCTION("IF(REGEXMATCH(A889, ""^00-""), 0, IF(AND(EQ(F889, """"), EQ(G889, """")), 1, 0))"),0.0)</f>
        <v>0</v>
      </c>
      <c r="O889" s="6">
        <f>IFERROR(__xludf.DUMMYFUNCTION("IF(REGEXMATCH(A889, ""^00-""), 0, IF(AND(NE(F889, """"), EQ(G889, """")), 1, 0))"),0.0)</f>
        <v>0</v>
      </c>
      <c r="P889" s="6">
        <f>IFERROR(__xludf.DUMMYFUNCTION("IF(REGEXMATCH(A889, ""^00-""), 0, IF(AND(EQ(F889, """"), NE(G889, """")), 1, 0))"),0.0)</f>
        <v>0</v>
      </c>
      <c r="Q889" s="6">
        <f>IFERROR(__xludf.DUMMYFUNCTION("IF(REGEXMATCH(A889, ""^00-""), 0, IF(AND(NE(F889, """"), NE(G889, """")), 1, 0))"),1.0)</f>
        <v>1</v>
      </c>
      <c r="R889" s="6">
        <f t="shared" si="1"/>
        <v>1</v>
      </c>
    </row>
    <row r="890">
      <c r="A890" s="1" t="s">
        <v>127</v>
      </c>
      <c r="B890" s="1" t="s">
        <v>2424</v>
      </c>
      <c r="C890" s="1">
        <v>430.0</v>
      </c>
      <c r="D890" s="1">
        <v>37.0</v>
      </c>
      <c r="E890" s="1">
        <v>467.0</v>
      </c>
      <c r="F890" s="1" t="s">
        <v>2425</v>
      </c>
      <c r="G890" s="1" t="s">
        <v>2425</v>
      </c>
      <c r="H890" s="1" t="s">
        <v>235</v>
      </c>
      <c r="I890" s="1" t="s">
        <v>2275</v>
      </c>
      <c r="J890" s="1" t="s">
        <v>2276</v>
      </c>
      <c r="K890" s="1" t="s">
        <v>2277</v>
      </c>
      <c r="L890" s="1"/>
      <c r="M890" s="1" t="s">
        <v>2426</v>
      </c>
      <c r="N890" s="6">
        <f>IFERROR(__xludf.DUMMYFUNCTION("IF(REGEXMATCH(A890, ""^00-""), 0, IF(AND(EQ(F890, """"), EQ(G890, """")), 1, 0))"),0.0)</f>
        <v>0</v>
      </c>
      <c r="O890" s="6">
        <f>IFERROR(__xludf.DUMMYFUNCTION("IF(REGEXMATCH(A890, ""^00-""), 0, IF(AND(NE(F890, """"), EQ(G890, """")), 1, 0))"),0.0)</f>
        <v>0</v>
      </c>
      <c r="P890" s="6">
        <f>IFERROR(__xludf.DUMMYFUNCTION("IF(REGEXMATCH(A890, ""^00-""), 0, IF(AND(EQ(F890, """"), NE(G890, """")), 1, 0))"),0.0)</f>
        <v>0</v>
      </c>
      <c r="Q890" s="6">
        <f>IFERROR(__xludf.DUMMYFUNCTION("IF(REGEXMATCH(A890, ""^00-""), 0, IF(AND(NE(F890, """"), NE(G890, """")), 1, 0))"),1.0)</f>
        <v>1</v>
      </c>
      <c r="R890" s="6">
        <f t="shared" si="1"/>
        <v>1</v>
      </c>
    </row>
    <row r="891">
      <c r="A891" s="1" t="s">
        <v>127</v>
      </c>
      <c r="B891" s="1" t="s">
        <v>2427</v>
      </c>
      <c r="C891" s="1">
        <v>430.0</v>
      </c>
      <c r="D891" s="1">
        <v>37.0</v>
      </c>
      <c r="E891" s="1">
        <v>467.0</v>
      </c>
      <c r="F891" s="1" t="s">
        <v>2428</v>
      </c>
      <c r="G891" s="1" t="s">
        <v>2428</v>
      </c>
      <c r="H891" s="1" t="s">
        <v>250</v>
      </c>
      <c r="I891" s="1" t="s">
        <v>2275</v>
      </c>
      <c r="J891" s="1" t="s">
        <v>2276</v>
      </c>
      <c r="K891" s="1" t="s">
        <v>2277</v>
      </c>
      <c r="L891" s="1"/>
      <c r="M891" s="1" t="s">
        <v>250</v>
      </c>
      <c r="N891" s="6">
        <f>IFERROR(__xludf.DUMMYFUNCTION("IF(REGEXMATCH(A891, ""^00-""), 0, IF(AND(EQ(F891, """"), EQ(G891, """")), 1, 0))"),0.0)</f>
        <v>0</v>
      </c>
      <c r="O891" s="6">
        <f>IFERROR(__xludf.DUMMYFUNCTION("IF(REGEXMATCH(A891, ""^00-""), 0, IF(AND(NE(F891, """"), EQ(G891, """")), 1, 0))"),0.0)</f>
        <v>0</v>
      </c>
      <c r="P891" s="6">
        <f>IFERROR(__xludf.DUMMYFUNCTION("IF(REGEXMATCH(A891, ""^00-""), 0, IF(AND(EQ(F891, """"), NE(G891, """")), 1, 0))"),0.0)</f>
        <v>0</v>
      </c>
      <c r="Q891" s="6">
        <f>IFERROR(__xludf.DUMMYFUNCTION("IF(REGEXMATCH(A891, ""^00-""), 0, IF(AND(NE(F891, """"), NE(G891, """")), 1, 0))"),1.0)</f>
        <v>1</v>
      </c>
      <c r="R891" s="6">
        <f t="shared" si="1"/>
        <v>1</v>
      </c>
    </row>
    <row r="892">
      <c r="A892" s="1" t="s">
        <v>129</v>
      </c>
      <c r="B892" s="1" t="s">
        <v>2429</v>
      </c>
      <c r="C892" s="1">
        <v>430.0</v>
      </c>
      <c r="D892" s="1">
        <v>37.0</v>
      </c>
      <c r="E892" s="1">
        <v>467.0</v>
      </c>
      <c r="F892" s="1" t="s">
        <v>2430</v>
      </c>
      <c r="G892" s="1" t="s">
        <v>2430</v>
      </c>
      <c r="H892" s="1" t="s">
        <v>190</v>
      </c>
      <c r="I892" s="1" t="s">
        <v>2275</v>
      </c>
      <c r="J892" s="1" t="s">
        <v>2431</v>
      </c>
      <c r="K892" s="1" t="s">
        <v>2277</v>
      </c>
      <c r="L892" s="1"/>
      <c r="M892" s="1" t="s">
        <v>191</v>
      </c>
      <c r="N892" s="6">
        <f>IFERROR(__xludf.DUMMYFUNCTION("IF(REGEXMATCH(A892, ""^00-""), 0, IF(AND(EQ(F892, """"), EQ(G892, """")), 1, 0))"),0.0)</f>
        <v>0</v>
      </c>
      <c r="O892" s="6">
        <f>IFERROR(__xludf.DUMMYFUNCTION("IF(REGEXMATCH(A892, ""^00-""), 0, IF(AND(NE(F892, """"), EQ(G892, """")), 1, 0))"),0.0)</f>
        <v>0</v>
      </c>
      <c r="P892" s="6">
        <f>IFERROR(__xludf.DUMMYFUNCTION("IF(REGEXMATCH(A892, ""^00-""), 0, IF(AND(EQ(F892, """"), NE(G892, """")), 1, 0))"),0.0)</f>
        <v>0</v>
      </c>
      <c r="Q892" s="6">
        <f>IFERROR(__xludf.DUMMYFUNCTION("IF(REGEXMATCH(A892, ""^00-""), 0, IF(AND(NE(F892, """"), NE(G892, """")), 1, 0))"),1.0)</f>
        <v>1</v>
      </c>
      <c r="R892" s="6">
        <f t="shared" si="1"/>
        <v>1</v>
      </c>
    </row>
    <row r="893">
      <c r="A893" s="1" t="s">
        <v>129</v>
      </c>
      <c r="B893" s="1" t="s">
        <v>2432</v>
      </c>
      <c r="C893" s="1">
        <v>100.0</v>
      </c>
      <c r="D893" s="1">
        <v>367.0</v>
      </c>
      <c r="E893" s="1">
        <v>467.0</v>
      </c>
      <c r="F893" s="1" t="s">
        <v>2433</v>
      </c>
      <c r="G893" s="1" t="s">
        <v>2433</v>
      </c>
      <c r="H893" s="1" t="s">
        <v>182</v>
      </c>
      <c r="I893" s="1" t="s">
        <v>2275</v>
      </c>
      <c r="J893" s="1" t="s">
        <v>2431</v>
      </c>
      <c r="K893" s="1" t="s">
        <v>2277</v>
      </c>
      <c r="L893" s="1"/>
      <c r="M893" s="1" t="s">
        <v>185</v>
      </c>
      <c r="N893" s="6">
        <f>IFERROR(__xludf.DUMMYFUNCTION("IF(REGEXMATCH(A893, ""^00-""), 0, IF(AND(EQ(F893, """"), EQ(G893, """")), 1, 0))"),0.0)</f>
        <v>0</v>
      </c>
      <c r="O893" s="6">
        <f>IFERROR(__xludf.DUMMYFUNCTION("IF(REGEXMATCH(A893, ""^00-""), 0, IF(AND(NE(F893, """"), EQ(G893, """")), 1, 0))"),0.0)</f>
        <v>0</v>
      </c>
      <c r="P893" s="6">
        <f>IFERROR(__xludf.DUMMYFUNCTION("IF(REGEXMATCH(A893, ""^00-""), 0, IF(AND(EQ(F893, """"), NE(G893, """")), 1, 0))"),0.0)</f>
        <v>0</v>
      </c>
      <c r="Q893" s="6">
        <f>IFERROR(__xludf.DUMMYFUNCTION("IF(REGEXMATCH(A893, ""^00-""), 0, IF(AND(NE(F893, """"), NE(G893, """")), 1, 0))"),1.0)</f>
        <v>1</v>
      </c>
      <c r="R893" s="6">
        <f t="shared" si="1"/>
        <v>1</v>
      </c>
    </row>
    <row r="894">
      <c r="A894" s="1" t="s">
        <v>129</v>
      </c>
      <c r="B894" s="1" t="s">
        <v>2434</v>
      </c>
      <c r="C894" s="1">
        <v>430.0</v>
      </c>
      <c r="D894" s="1">
        <v>37.0</v>
      </c>
      <c r="E894" s="1">
        <v>467.0</v>
      </c>
      <c r="F894" s="1" t="s">
        <v>2435</v>
      </c>
      <c r="G894" s="1" t="s">
        <v>2435</v>
      </c>
      <c r="H894" s="1" t="s">
        <v>190</v>
      </c>
      <c r="I894" s="1" t="s">
        <v>2275</v>
      </c>
      <c r="J894" s="1" t="s">
        <v>2431</v>
      </c>
      <c r="K894" s="1" t="s">
        <v>2277</v>
      </c>
      <c r="L894" s="1"/>
      <c r="M894" s="1" t="s">
        <v>191</v>
      </c>
      <c r="N894" s="6">
        <f>IFERROR(__xludf.DUMMYFUNCTION("IF(REGEXMATCH(A894, ""^00-""), 0, IF(AND(EQ(F894, """"), EQ(G894, """")), 1, 0))"),0.0)</f>
        <v>0</v>
      </c>
      <c r="O894" s="6">
        <f>IFERROR(__xludf.DUMMYFUNCTION("IF(REGEXMATCH(A894, ""^00-""), 0, IF(AND(NE(F894, """"), EQ(G894, """")), 1, 0))"),0.0)</f>
        <v>0</v>
      </c>
      <c r="P894" s="6">
        <f>IFERROR(__xludf.DUMMYFUNCTION("IF(REGEXMATCH(A894, ""^00-""), 0, IF(AND(EQ(F894, """"), NE(G894, """")), 1, 0))"),0.0)</f>
        <v>0</v>
      </c>
      <c r="Q894" s="6">
        <f>IFERROR(__xludf.DUMMYFUNCTION("IF(REGEXMATCH(A894, ""^00-""), 0, IF(AND(NE(F894, """"), NE(G894, """")), 1, 0))"),1.0)</f>
        <v>1</v>
      </c>
      <c r="R894" s="6">
        <f t="shared" si="1"/>
        <v>1</v>
      </c>
    </row>
    <row r="895">
      <c r="A895" s="1" t="s">
        <v>129</v>
      </c>
      <c r="B895" s="1" t="s">
        <v>2436</v>
      </c>
      <c r="C895" s="1">
        <v>87.0</v>
      </c>
      <c r="D895" s="1">
        <v>380.0</v>
      </c>
      <c r="E895" s="1">
        <v>467.0</v>
      </c>
      <c r="F895" s="1" t="s">
        <v>2437</v>
      </c>
      <c r="G895" s="1" t="s">
        <v>2437</v>
      </c>
      <c r="H895" s="1" t="s">
        <v>190</v>
      </c>
      <c r="I895" s="1" t="s">
        <v>2275</v>
      </c>
      <c r="J895" s="1" t="s">
        <v>2431</v>
      </c>
      <c r="K895" s="1" t="s">
        <v>2277</v>
      </c>
      <c r="L895" s="1"/>
      <c r="M895" s="1" t="s">
        <v>191</v>
      </c>
      <c r="N895" s="6">
        <f>IFERROR(__xludf.DUMMYFUNCTION("IF(REGEXMATCH(A895, ""^00-""), 0, IF(AND(EQ(F895, """"), EQ(G895, """")), 1, 0))"),0.0)</f>
        <v>0</v>
      </c>
      <c r="O895" s="6">
        <f>IFERROR(__xludf.DUMMYFUNCTION("IF(REGEXMATCH(A895, ""^00-""), 0, IF(AND(NE(F895, """"), EQ(G895, """")), 1, 0))"),0.0)</f>
        <v>0</v>
      </c>
      <c r="P895" s="6">
        <f>IFERROR(__xludf.DUMMYFUNCTION("IF(REGEXMATCH(A895, ""^00-""), 0, IF(AND(EQ(F895, """"), NE(G895, """")), 1, 0))"),0.0)</f>
        <v>0</v>
      </c>
      <c r="Q895" s="6">
        <f>IFERROR(__xludf.DUMMYFUNCTION("IF(REGEXMATCH(A895, ""^00-""), 0, IF(AND(NE(F895, """"), NE(G895, """")), 1, 0))"),1.0)</f>
        <v>1</v>
      </c>
      <c r="R895" s="6">
        <f t="shared" si="1"/>
        <v>1</v>
      </c>
    </row>
    <row r="896">
      <c r="A896" s="1" t="s">
        <v>129</v>
      </c>
      <c r="B896" s="1" t="s">
        <v>2438</v>
      </c>
      <c r="C896" s="1">
        <v>87.0</v>
      </c>
      <c r="D896" s="1">
        <v>380.0</v>
      </c>
      <c r="E896" s="1">
        <v>467.0</v>
      </c>
      <c r="F896" s="1" t="s">
        <v>2439</v>
      </c>
      <c r="G896" s="1" t="s">
        <v>2439</v>
      </c>
      <c r="H896" s="1" t="s">
        <v>190</v>
      </c>
      <c r="I896" s="1" t="s">
        <v>2275</v>
      </c>
      <c r="J896" s="1" t="s">
        <v>2431</v>
      </c>
      <c r="K896" s="1" t="s">
        <v>2277</v>
      </c>
      <c r="L896" s="1"/>
      <c r="M896" s="1" t="s">
        <v>191</v>
      </c>
      <c r="N896" s="6">
        <f>IFERROR(__xludf.DUMMYFUNCTION("IF(REGEXMATCH(A896, ""^00-""), 0, IF(AND(EQ(F896, """"), EQ(G896, """")), 1, 0))"),0.0)</f>
        <v>0</v>
      </c>
      <c r="O896" s="6">
        <f>IFERROR(__xludf.DUMMYFUNCTION("IF(REGEXMATCH(A896, ""^00-""), 0, IF(AND(NE(F896, """"), EQ(G896, """")), 1, 0))"),0.0)</f>
        <v>0</v>
      </c>
      <c r="P896" s="6">
        <f>IFERROR(__xludf.DUMMYFUNCTION("IF(REGEXMATCH(A896, ""^00-""), 0, IF(AND(EQ(F896, """"), NE(G896, """")), 1, 0))"),0.0)</f>
        <v>0</v>
      </c>
      <c r="Q896" s="6">
        <f>IFERROR(__xludf.DUMMYFUNCTION("IF(REGEXMATCH(A896, ""^00-""), 0, IF(AND(NE(F896, """"), NE(G896, """")), 1, 0))"),1.0)</f>
        <v>1</v>
      </c>
      <c r="R896" s="6">
        <f t="shared" si="1"/>
        <v>1</v>
      </c>
    </row>
    <row r="897">
      <c r="A897" s="1" t="s">
        <v>129</v>
      </c>
      <c r="B897" s="1" t="s">
        <v>2440</v>
      </c>
      <c r="C897" s="1">
        <v>87.0</v>
      </c>
      <c r="D897" s="1">
        <v>380.0</v>
      </c>
      <c r="E897" s="1">
        <v>467.0</v>
      </c>
      <c r="F897" s="1" t="s">
        <v>2441</v>
      </c>
      <c r="G897" s="1" t="s">
        <v>2441</v>
      </c>
      <c r="H897" s="1" t="s">
        <v>190</v>
      </c>
      <c r="I897" s="1" t="s">
        <v>2275</v>
      </c>
      <c r="J897" s="1" t="s">
        <v>2431</v>
      </c>
      <c r="K897" s="1" t="s">
        <v>2277</v>
      </c>
      <c r="L897" s="1"/>
      <c r="M897" s="1" t="s">
        <v>191</v>
      </c>
      <c r="N897" s="6">
        <f>IFERROR(__xludf.DUMMYFUNCTION("IF(REGEXMATCH(A897, ""^00-""), 0, IF(AND(EQ(F897, """"), EQ(G897, """")), 1, 0))"),0.0)</f>
        <v>0</v>
      </c>
      <c r="O897" s="6">
        <f>IFERROR(__xludf.DUMMYFUNCTION("IF(REGEXMATCH(A897, ""^00-""), 0, IF(AND(NE(F897, """"), EQ(G897, """")), 1, 0))"),0.0)</f>
        <v>0</v>
      </c>
      <c r="P897" s="6">
        <f>IFERROR(__xludf.DUMMYFUNCTION("IF(REGEXMATCH(A897, ""^00-""), 0, IF(AND(EQ(F897, """"), NE(G897, """")), 1, 0))"),0.0)</f>
        <v>0</v>
      </c>
      <c r="Q897" s="6">
        <f>IFERROR(__xludf.DUMMYFUNCTION("IF(REGEXMATCH(A897, ""^00-""), 0, IF(AND(NE(F897, """"), NE(G897, """")), 1, 0))"),1.0)</f>
        <v>1</v>
      </c>
      <c r="R897" s="6">
        <f t="shared" si="1"/>
        <v>1</v>
      </c>
    </row>
    <row r="898">
      <c r="A898" s="1" t="s">
        <v>129</v>
      </c>
      <c r="B898" s="1" t="s">
        <v>2442</v>
      </c>
      <c r="C898" s="1">
        <v>4.0</v>
      </c>
      <c r="D898" s="1">
        <v>463.0</v>
      </c>
      <c r="E898" s="1">
        <v>467.0</v>
      </c>
      <c r="F898" s="1" t="s">
        <v>2443</v>
      </c>
      <c r="G898" s="1" t="s">
        <v>2443</v>
      </c>
      <c r="H898" s="1" t="s">
        <v>235</v>
      </c>
      <c r="I898" s="1" t="s">
        <v>2275</v>
      </c>
      <c r="J898" s="1" t="s">
        <v>2431</v>
      </c>
      <c r="K898" s="1" t="s">
        <v>2277</v>
      </c>
      <c r="L898" s="1"/>
      <c r="M898" s="1" t="s">
        <v>2444</v>
      </c>
      <c r="N898" s="6">
        <f>IFERROR(__xludf.DUMMYFUNCTION("IF(REGEXMATCH(A898, ""^00-""), 0, IF(AND(EQ(F898, """"), EQ(G898, """")), 1, 0))"),0.0)</f>
        <v>0</v>
      </c>
      <c r="O898" s="6">
        <f>IFERROR(__xludf.DUMMYFUNCTION("IF(REGEXMATCH(A898, ""^00-""), 0, IF(AND(NE(F898, """"), EQ(G898, """")), 1, 0))"),0.0)</f>
        <v>0</v>
      </c>
      <c r="P898" s="6">
        <f>IFERROR(__xludf.DUMMYFUNCTION("IF(REGEXMATCH(A898, ""^00-""), 0, IF(AND(EQ(F898, """"), NE(G898, """")), 1, 0))"),0.0)</f>
        <v>0</v>
      </c>
      <c r="Q898" s="6">
        <f>IFERROR(__xludf.DUMMYFUNCTION("IF(REGEXMATCH(A898, ""^00-""), 0, IF(AND(NE(F898, """"), NE(G898, """")), 1, 0))"),1.0)</f>
        <v>1</v>
      </c>
      <c r="R898" s="6">
        <f t="shared" si="1"/>
        <v>1</v>
      </c>
    </row>
    <row r="899">
      <c r="A899" s="1" t="s">
        <v>129</v>
      </c>
      <c r="B899" s="1" t="s">
        <v>2445</v>
      </c>
      <c r="C899" s="1">
        <v>87.0</v>
      </c>
      <c r="D899" s="1">
        <v>380.0</v>
      </c>
      <c r="E899" s="1">
        <v>467.0</v>
      </c>
      <c r="F899" s="1" t="s">
        <v>2446</v>
      </c>
      <c r="G899" s="1" t="s">
        <v>2446</v>
      </c>
      <c r="H899" s="1" t="s">
        <v>190</v>
      </c>
      <c r="I899" s="1" t="s">
        <v>2275</v>
      </c>
      <c r="J899" s="1" t="s">
        <v>2431</v>
      </c>
      <c r="K899" s="1" t="s">
        <v>2277</v>
      </c>
      <c r="L899" s="1"/>
      <c r="M899" s="1" t="s">
        <v>191</v>
      </c>
      <c r="N899" s="6">
        <f>IFERROR(__xludf.DUMMYFUNCTION("IF(REGEXMATCH(A899, ""^00-""), 0, IF(AND(EQ(F899, """"), EQ(G899, """")), 1, 0))"),0.0)</f>
        <v>0</v>
      </c>
      <c r="O899" s="6">
        <f>IFERROR(__xludf.DUMMYFUNCTION("IF(REGEXMATCH(A899, ""^00-""), 0, IF(AND(NE(F899, """"), EQ(G899, """")), 1, 0))"),0.0)</f>
        <v>0</v>
      </c>
      <c r="P899" s="6">
        <f>IFERROR(__xludf.DUMMYFUNCTION("IF(REGEXMATCH(A899, ""^00-""), 0, IF(AND(EQ(F899, """"), NE(G899, """")), 1, 0))"),0.0)</f>
        <v>0</v>
      </c>
      <c r="Q899" s="6">
        <f>IFERROR(__xludf.DUMMYFUNCTION("IF(REGEXMATCH(A899, ""^00-""), 0, IF(AND(NE(F899, """"), NE(G899, """")), 1, 0))"),1.0)</f>
        <v>1</v>
      </c>
      <c r="R899" s="6">
        <f t="shared" si="1"/>
        <v>1</v>
      </c>
    </row>
    <row r="900">
      <c r="A900" s="1" t="s">
        <v>129</v>
      </c>
      <c r="B900" s="1" t="s">
        <v>2447</v>
      </c>
      <c r="C900" s="1">
        <v>87.0</v>
      </c>
      <c r="D900" s="1">
        <v>380.0</v>
      </c>
      <c r="E900" s="1">
        <v>467.0</v>
      </c>
      <c r="F900" s="1" t="s">
        <v>2448</v>
      </c>
      <c r="G900" s="1" t="s">
        <v>2448</v>
      </c>
      <c r="H900" s="1" t="s">
        <v>190</v>
      </c>
      <c r="I900" s="1" t="s">
        <v>2275</v>
      </c>
      <c r="J900" s="1" t="s">
        <v>2431</v>
      </c>
      <c r="K900" s="1" t="s">
        <v>2277</v>
      </c>
      <c r="L900" s="1"/>
      <c r="M900" s="1" t="s">
        <v>191</v>
      </c>
      <c r="N900" s="6">
        <f>IFERROR(__xludf.DUMMYFUNCTION("IF(REGEXMATCH(A900, ""^00-""), 0, IF(AND(EQ(F900, """"), EQ(G900, """")), 1, 0))"),0.0)</f>
        <v>0</v>
      </c>
      <c r="O900" s="6">
        <f>IFERROR(__xludf.DUMMYFUNCTION("IF(REGEXMATCH(A900, ""^00-""), 0, IF(AND(NE(F900, """"), EQ(G900, """")), 1, 0))"),0.0)</f>
        <v>0</v>
      </c>
      <c r="P900" s="6">
        <f>IFERROR(__xludf.DUMMYFUNCTION("IF(REGEXMATCH(A900, ""^00-""), 0, IF(AND(EQ(F900, """"), NE(G900, """")), 1, 0))"),0.0)</f>
        <v>0</v>
      </c>
      <c r="Q900" s="6">
        <f>IFERROR(__xludf.DUMMYFUNCTION("IF(REGEXMATCH(A900, ""^00-""), 0, IF(AND(NE(F900, """"), NE(G900, """")), 1, 0))"),1.0)</f>
        <v>1</v>
      </c>
      <c r="R900" s="6">
        <f t="shared" si="1"/>
        <v>1</v>
      </c>
    </row>
    <row r="901">
      <c r="A901" s="1" t="s">
        <v>129</v>
      </c>
      <c r="B901" s="1" t="s">
        <v>2449</v>
      </c>
      <c r="C901" s="1">
        <v>87.0</v>
      </c>
      <c r="D901" s="1">
        <v>380.0</v>
      </c>
      <c r="E901" s="1">
        <v>467.0</v>
      </c>
      <c r="F901" s="1" t="s">
        <v>2450</v>
      </c>
      <c r="G901" s="1" t="s">
        <v>2450</v>
      </c>
      <c r="H901" s="1" t="s">
        <v>190</v>
      </c>
      <c r="I901" s="1" t="s">
        <v>2275</v>
      </c>
      <c r="J901" s="1" t="s">
        <v>2431</v>
      </c>
      <c r="K901" s="1" t="s">
        <v>2277</v>
      </c>
      <c r="L901" s="1"/>
      <c r="M901" s="1" t="s">
        <v>191</v>
      </c>
      <c r="N901" s="6">
        <f>IFERROR(__xludf.DUMMYFUNCTION("IF(REGEXMATCH(A901, ""^00-""), 0, IF(AND(EQ(F901, """"), EQ(G901, """")), 1, 0))"),0.0)</f>
        <v>0</v>
      </c>
      <c r="O901" s="6">
        <f>IFERROR(__xludf.DUMMYFUNCTION("IF(REGEXMATCH(A901, ""^00-""), 0, IF(AND(NE(F901, """"), EQ(G901, """")), 1, 0))"),0.0)</f>
        <v>0</v>
      </c>
      <c r="P901" s="6">
        <f>IFERROR(__xludf.DUMMYFUNCTION("IF(REGEXMATCH(A901, ""^00-""), 0, IF(AND(EQ(F901, """"), NE(G901, """")), 1, 0))"),0.0)</f>
        <v>0</v>
      </c>
      <c r="Q901" s="6">
        <f>IFERROR(__xludf.DUMMYFUNCTION("IF(REGEXMATCH(A901, ""^00-""), 0, IF(AND(NE(F901, """"), NE(G901, """")), 1, 0))"),1.0)</f>
        <v>1</v>
      </c>
      <c r="R901" s="6">
        <f t="shared" si="1"/>
        <v>1</v>
      </c>
    </row>
    <row r="902">
      <c r="A902" s="1" t="s">
        <v>129</v>
      </c>
      <c r="B902" s="1" t="s">
        <v>2451</v>
      </c>
      <c r="C902" s="1">
        <v>87.0</v>
      </c>
      <c r="D902" s="1">
        <v>380.0</v>
      </c>
      <c r="E902" s="1">
        <v>467.0</v>
      </c>
      <c r="F902" s="1" t="s">
        <v>2452</v>
      </c>
      <c r="G902" s="1" t="s">
        <v>2452</v>
      </c>
      <c r="H902" s="1" t="s">
        <v>190</v>
      </c>
      <c r="I902" s="1" t="s">
        <v>2275</v>
      </c>
      <c r="J902" s="1" t="s">
        <v>2431</v>
      </c>
      <c r="K902" s="1" t="s">
        <v>2277</v>
      </c>
      <c r="L902" s="1"/>
      <c r="M902" s="1" t="s">
        <v>191</v>
      </c>
      <c r="N902" s="6">
        <f>IFERROR(__xludf.DUMMYFUNCTION("IF(REGEXMATCH(A902, ""^00-""), 0, IF(AND(EQ(F902, """"), EQ(G902, """")), 1, 0))"),0.0)</f>
        <v>0</v>
      </c>
      <c r="O902" s="6">
        <f>IFERROR(__xludf.DUMMYFUNCTION("IF(REGEXMATCH(A902, ""^00-""), 0, IF(AND(NE(F902, """"), EQ(G902, """")), 1, 0))"),0.0)</f>
        <v>0</v>
      </c>
      <c r="P902" s="6">
        <f>IFERROR(__xludf.DUMMYFUNCTION("IF(REGEXMATCH(A902, ""^00-""), 0, IF(AND(EQ(F902, """"), NE(G902, """")), 1, 0))"),0.0)</f>
        <v>0</v>
      </c>
      <c r="Q902" s="6">
        <f>IFERROR(__xludf.DUMMYFUNCTION("IF(REGEXMATCH(A902, ""^00-""), 0, IF(AND(NE(F902, """"), NE(G902, """")), 1, 0))"),1.0)</f>
        <v>1</v>
      </c>
      <c r="R902" s="6">
        <f t="shared" si="1"/>
        <v>1</v>
      </c>
    </row>
    <row r="903">
      <c r="A903" s="1" t="s">
        <v>129</v>
      </c>
      <c r="B903" s="1" t="s">
        <v>2453</v>
      </c>
      <c r="C903" s="1">
        <v>87.0</v>
      </c>
      <c r="D903" s="1">
        <v>380.0</v>
      </c>
      <c r="E903" s="1">
        <v>467.0</v>
      </c>
      <c r="F903" s="1" t="s">
        <v>2454</v>
      </c>
      <c r="G903" s="1" t="s">
        <v>2454</v>
      </c>
      <c r="H903" s="1" t="s">
        <v>190</v>
      </c>
      <c r="I903" s="1" t="s">
        <v>2275</v>
      </c>
      <c r="J903" s="1" t="s">
        <v>2431</v>
      </c>
      <c r="K903" s="1" t="s">
        <v>2277</v>
      </c>
      <c r="L903" s="1"/>
      <c r="M903" s="1" t="s">
        <v>191</v>
      </c>
      <c r="N903" s="6">
        <f>IFERROR(__xludf.DUMMYFUNCTION("IF(REGEXMATCH(A903, ""^00-""), 0, IF(AND(EQ(F903, """"), EQ(G903, """")), 1, 0))"),0.0)</f>
        <v>0</v>
      </c>
      <c r="O903" s="6">
        <f>IFERROR(__xludf.DUMMYFUNCTION("IF(REGEXMATCH(A903, ""^00-""), 0, IF(AND(NE(F903, """"), EQ(G903, """")), 1, 0))"),0.0)</f>
        <v>0</v>
      </c>
      <c r="P903" s="6">
        <f>IFERROR(__xludf.DUMMYFUNCTION("IF(REGEXMATCH(A903, ""^00-""), 0, IF(AND(EQ(F903, """"), NE(G903, """")), 1, 0))"),0.0)</f>
        <v>0</v>
      </c>
      <c r="Q903" s="6">
        <f>IFERROR(__xludf.DUMMYFUNCTION("IF(REGEXMATCH(A903, ""^00-""), 0, IF(AND(NE(F903, """"), NE(G903, """")), 1, 0))"),1.0)</f>
        <v>1</v>
      </c>
      <c r="R903" s="6">
        <f t="shared" si="1"/>
        <v>1</v>
      </c>
    </row>
    <row r="904">
      <c r="A904" s="1" t="s">
        <v>129</v>
      </c>
      <c r="B904" s="1" t="s">
        <v>2455</v>
      </c>
      <c r="C904" s="1">
        <v>87.0</v>
      </c>
      <c r="D904" s="1">
        <v>380.0</v>
      </c>
      <c r="E904" s="1">
        <v>467.0</v>
      </c>
      <c r="F904" s="1" t="s">
        <v>2456</v>
      </c>
      <c r="G904" s="1" t="s">
        <v>2456</v>
      </c>
      <c r="H904" s="1" t="s">
        <v>190</v>
      </c>
      <c r="I904" s="1" t="s">
        <v>2275</v>
      </c>
      <c r="J904" s="1" t="s">
        <v>2431</v>
      </c>
      <c r="K904" s="1" t="s">
        <v>2277</v>
      </c>
      <c r="L904" s="1"/>
      <c r="M904" s="1" t="s">
        <v>191</v>
      </c>
      <c r="N904" s="6">
        <f>IFERROR(__xludf.DUMMYFUNCTION("IF(REGEXMATCH(A904, ""^00-""), 0, IF(AND(EQ(F904, """"), EQ(G904, """")), 1, 0))"),0.0)</f>
        <v>0</v>
      </c>
      <c r="O904" s="6">
        <f>IFERROR(__xludf.DUMMYFUNCTION("IF(REGEXMATCH(A904, ""^00-""), 0, IF(AND(NE(F904, """"), EQ(G904, """")), 1, 0))"),0.0)</f>
        <v>0</v>
      </c>
      <c r="P904" s="6">
        <f>IFERROR(__xludf.DUMMYFUNCTION("IF(REGEXMATCH(A904, ""^00-""), 0, IF(AND(EQ(F904, """"), NE(G904, """")), 1, 0))"),0.0)</f>
        <v>0</v>
      </c>
      <c r="Q904" s="6">
        <f>IFERROR(__xludf.DUMMYFUNCTION("IF(REGEXMATCH(A904, ""^00-""), 0, IF(AND(NE(F904, """"), NE(G904, """")), 1, 0))"),1.0)</f>
        <v>1</v>
      </c>
      <c r="R904" s="6">
        <f t="shared" si="1"/>
        <v>1</v>
      </c>
    </row>
    <row r="905">
      <c r="A905" s="1" t="s">
        <v>129</v>
      </c>
      <c r="B905" s="1" t="s">
        <v>2457</v>
      </c>
      <c r="C905" s="1">
        <v>87.0</v>
      </c>
      <c r="D905" s="1">
        <v>380.0</v>
      </c>
      <c r="E905" s="1">
        <v>467.0</v>
      </c>
      <c r="F905" s="1" t="s">
        <v>2458</v>
      </c>
      <c r="G905" s="1" t="s">
        <v>2458</v>
      </c>
      <c r="H905" s="1" t="s">
        <v>190</v>
      </c>
      <c r="I905" s="1" t="s">
        <v>2275</v>
      </c>
      <c r="J905" s="1" t="s">
        <v>2431</v>
      </c>
      <c r="K905" s="1" t="s">
        <v>2277</v>
      </c>
      <c r="L905" s="1"/>
      <c r="M905" s="1" t="s">
        <v>191</v>
      </c>
      <c r="N905" s="6">
        <f>IFERROR(__xludf.DUMMYFUNCTION("IF(REGEXMATCH(A905, ""^00-""), 0, IF(AND(EQ(F905, """"), EQ(G905, """")), 1, 0))"),0.0)</f>
        <v>0</v>
      </c>
      <c r="O905" s="6">
        <f>IFERROR(__xludf.DUMMYFUNCTION("IF(REGEXMATCH(A905, ""^00-""), 0, IF(AND(NE(F905, """"), EQ(G905, """")), 1, 0))"),0.0)</f>
        <v>0</v>
      </c>
      <c r="P905" s="6">
        <f>IFERROR(__xludf.DUMMYFUNCTION("IF(REGEXMATCH(A905, ""^00-""), 0, IF(AND(EQ(F905, """"), NE(G905, """")), 1, 0))"),0.0)</f>
        <v>0</v>
      </c>
      <c r="Q905" s="6">
        <f>IFERROR(__xludf.DUMMYFUNCTION("IF(REGEXMATCH(A905, ""^00-""), 0, IF(AND(NE(F905, """"), NE(G905, """")), 1, 0))"),1.0)</f>
        <v>1</v>
      </c>
      <c r="R905" s="6">
        <f t="shared" si="1"/>
        <v>1</v>
      </c>
    </row>
    <row r="906">
      <c r="A906" s="1" t="s">
        <v>129</v>
      </c>
      <c r="B906" s="1" t="s">
        <v>2459</v>
      </c>
      <c r="C906" s="1">
        <v>87.0</v>
      </c>
      <c r="D906" s="1">
        <v>380.0</v>
      </c>
      <c r="E906" s="1">
        <v>467.0</v>
      </c>
      <c r="F906" s="1" t="s">
        <v>2460</v>
      </c>
      <c r="G906" s="1" t="s">
        <v>2460</v>
      </c>
      <c r="H906" s="1" t="s">
        <v>190</v>
      </c>
      <c r="I906" s="1" t="s">
        <v>2275</v>
      </c>
      <c r="J906" s="1" t="s">
        <v>2431</v>
      </c>
      <c r="K906" s="1" t="s">
        <v>2277</v>
      </c>
      <c r="L906" s="1"/>
      <c r="M906" s="1" t="s">
        <v>191</v>
      </c>
      <c r="N906" s="6">
        <f>IFERROR(__xludf.DUMMYFUNCTION("IF(REGEXMATCH(A906, ""^00-""), 0, IF(AND(EQ(F906, """"), EQ(G906, """")), 1, 0))"),0.0)</f>
        <v>0</v>
      </c>
      <c r="O906" s="6">
        <f>IFERROR(__xludf.DUMMYFUNCTION("IF(REGEXMATCH(A906, ""^00-""), 0, IF(AND(NE(F906, """"), EQ(G906, """")), 1, 0))"),0.0)</f>
        <v>0</v>
      </c>
      <c r="P906" s="6">
        <f>IFERROR(__xludf.DUMMYFUNCTION("IF(REGEXMATCH(A906, ""^00-""), 0, IF(AND(EQ(F906, """"), NE(G906, """")), 1, 0))"),0.0)</f>
        <v>0</v>
      </c>
      <c r="Q906" s="6">
        <f>IFERROR(__xludf.DUMMYFUNCTION("IF(REGEXMATCH(A906, ""^00-""), 0, IF(AND(NE(F906, """"), NE(G906, """")), 1, 0))"),1.0)</f>
        <v>1</v>
      </c>
      <c r="R906" s="6">
        <f t="shared" si="1"/>
        <v>1</v>
      </c>
    </row>
    <row r="907">
      <c r="A907" s="1" t="s">
        <v>129</v>
      </c>
      <c r="B907" s="1" t="s">
        <v>2461</v>
      </c>
      <c r="C907" s="1">
        <v>87.0</v>
      </c>
      <c r="D907" s="1">
        <v>380.0</v>
      </c>
      <c r="E907" s="1">
        <v>467.0</v>
      </c>
      <c r="F907" s="1" t="s">
        <v>2462</v>
      </c>
      <c r="G907" s="1" t="s">
        <v>2462</v>
      </c>
      <c r="H907" s="1" t="s">
        <v>190</v>
      </c>
      <c r="I907" s="1" t="s">
        <v>2275</v>
      </c>
      <c r="J907" s="1" t="s">
        <v>2431</v>
      </c>
      <c r="K907" s="1" t="s">
        <v>2277</v>
      </c>
      <c r="L907" s="1"/>
      <c r="M907" s="1" t="s">
        <v>191</v>
      </c>
      <c r="N907" s="6">
        <f>IFERROR(__xludf.DUMMYFUNCTION("IF(REGEXMATCH(A907, ""^00-""), 0, IF(AND(EQ(F907, """"), EQ(G907, """")), 1, 0))"),0.0)</f>
        <v>0</v>
      </c>
      <c r="O907" s="6">
        <f>IFERROR(__xludf.DUMMYFUNCTION("IF(REGEXMATCH(A907, ""^00-""), 0, IF(AND(NE(F907, """"), EQ(G907, """")), 1, 0))"),0.0)</f>
        <v>0</v>
      </c>
      <c r="P907" s="6">
        <f>IFERROR(__xludf.DUMMYFUNCTION("IF(REGEXMATCH(A907, ""^00-""), 0, IF(AND(EQ(F907, """"), NE(G907, """")), 1, 0))"),0.0)</f>
        <v>0</v>
      </c>
      <c r="Q907" s="6">
        <f>IFERROR(__xludf.DUMMYFUNCTION("IF(REGEXMATCH(A907, ""^00-""), 0, IF(AND(NE(F907, """"), NE(G907, """")), 1, 0))"),1.0)</f>
        <v>1</v>
      </c>
      <c r="R907" s="6">
        <f t="shared" si="1"/>
        <v>1</v>
      </c>
    </row>
    <row r="908">
      <c r="A908" s="1" t="s">
        <v>129</v>
      </c>
      <c r="B908" s="1" t="s">
        <v>2463</v>
      </c>
      <c r="C908" s="1">
        <v>41.0</v>
      </c>
      <c r="D908" s="1">
        <v>426.0</v>
      </c>
      <c r="E908" s="1">
        <v>467.0</v>
      </c>
      <c r="F908" s="1" t="s">
        <v>2464</v>
      </c>
      <c r="G908" s="1" t="s">
        <v>2464</v>
      </c>
      <c r="H908" s="1" t="s">
        <v>171</v>
      </c>
      <c r="I908" s="1" t="s">
        <v>2275</v>
      </c>
      <c r="J908" s="1" t="s">
        <v>2431</v>
      </c>
      <c r="K908" s="1" t="s">
        <v>2277</v>
      </c>
      <c r="L908" s="1"/>
      <c r="M908" s="1" t="s">
        <v>171</v>
      </c>
      <c r="N908" s="6">
        <f>IFERROR(__xludf.DUMMYFUNCTION("IF(REGEXMATCH(A908, ""^00-""), 0, IF(AND(EQ(F908, """"), EQ(G908, """")), 1, 0))"),0.0)</f>
        <v>0</v>
      </c>
      <c r="O908" s="6">
        <f>IFERROR(__xludf.DUMMYFUNCTION("IF(REGEXMATCH(A908, ""^00-""), 0, IF(AND(NE(F908, """"), EQ(G908, """")), 1, 0))"),0.0)</f>
        <v>0</v>
      </c>
      <c r="P908" s="6">
        <f>IFERROR(__xludf.DUMMYFUNCTION("IF(REGEXMATCH(A908, ""^00-""), 0, IF(AND(EQ(F908, """"), NE(G908, """")), 1, 0))"),0.0)</f>
        <v>0</v>
      </c>
      <c r="Q908" s="6">
        <f>IFERROR(__xludf.DUMMYFUNCTION("IF(REGEXMATCH(A908, ""^00-""), 0, IF(AND(NE(F908, """"), NE(G908, """")), 1, 0))"),1.0)</f>
        <v>1</v>
      </c>
      <c r="R908" s="6">
        <f t="shared" si="1"/>
        <v>1</v>
      </c>
    </row>
    <row r="909">
      <c r="A909" s="1" t="s">
        <v>129</v>
      </c>
      <c r="B909" s="1" t="s">
        <v>2465</v>
      </c>
      <c r="C909" s="1">
        <v>430.0</v>
      </c>
      <c r="D909" s="1">
        <v>37.0</v>
      </c>
      <c r="E909" s="1">
        <v>467.0</v>
      </c>
      <c r="F909" s="1" t="s">
        <v>2466</v>
      </c>
      <c r="G909" s="1" t="s">
        <v>2466</v>
      </c>
      <c r="H909" s="1" t="s">
        <v>190</v>
      </c>
      <c r="I909" s="1" t="s">
        <v>2275</v>
      </c>
      <c r="J909" s="1" t="s">
        <v>2431</v>
      </c>
      <c r="K909" s="1" t="s">
        <v>2277</v>
      </c>
      <c r="L909" s="1"/>
      <c r="M909" s="1" t="s">
        <v>191</v>
      </c>
      <c r="N909" s="6">
        <f>IFERROR(__xludf.DUMMYFUNCTION("IF(REGEXMATCH(A909, ""^00-""), 0, IF(AND(EQ(F909, """"), EQ(G909, """")), 1, 0))"),0.0)</f>
        <v>0</v>
      </c>
      <c r="O909" s="6">
        <f>IFERROR(__xludf.DUMMYFUNCTION("IF(REGEXMATCH(A909, ""^00-""), 0, IF(AND(NE(F909, """"), EQ(G909, """")), 1, 0))"),0.0)</f>
        <v>0</v>
      </c>
      <c r="P909" s="6">
        <f>IFERROR(__xludf.DUMMYFUNCTION("IF(REGEXMATCH(A909, ""^00-""), 0, IF(AND(EQ(F909, """"), NE(G909, """")), 1, 0))"),0.0)</f>
        <v>0</v>
      </c>
      <c r="Q909" s="6">
        <f>IFERROR(__xludf.DUMMYFUNCTION("IF(REGEXMATCH(A909, ""^00-""), 0, IF(AND(NE(F909, """"), NE(G909, """")), 1, 0))"),1.0)</f>
        <v>1</v>
      </c>
      <c r="R909" s="6">
        <f t="shared" si="1"/>
        <v>1</v>
      </c>
    </row>
    <row r="910">
      <c r="A910" s="1" t="s">
        <v>129</v>
      </c>
      <c r="B910" s="1" t="s">
        <v>2467</v>
      </c>
      <c r="C910" s="1">
        <v>242.0</v>
      </c>
      <c r="D910" s="1">
        <v>225.0</v>
      </c>
      <c r="E910" s="1">
        <v>467.0</v>
      </c>
      <c r="F910" s="1" t="s">
        <v>2468</v>
      </c>
      <c r="G910" s="1" t="s">
        <v>2468</v>
      </c>
      <c r="H910" s="1" t="s">
        <v>235</v>
      </c>
      <c r="I910" s="1" t="s">
        <v>2275</v>
      </c>
      <c r="J910" s="1" t="s">
        <v>2431</v>
      </c>
      <c r="K910" s="1" t="s">
        <v>2277</v>
      </c>
      <c r="L910" s="1"/>
      <c r="M910" s="1" t="s">
        <v>2469</v>
      </c>
      <c r="N910" s="6">
        <f>IFERROR(__xludf.DUMMYFUNCTION("IF(REGEXMATCH(A910, ""^00-""), 0, IF(AND(EQ(F910, """"), EQ(G910, """")), 1, 0))"),0.0)</f>
        <v>0</v>
      </c>
      <c r="O910" s="6">
        <f>IFERROR(__xludf.DUMMYFUNCTION("IF(REGEXMATCH(A910, ""^00-""), 0, IF(AND(NE(F910, """"), EQ(G910, """")), 1, 0))"),0.0)</f>
        <v>0</v>
      </c>
      <c r="P910" s="6">
        <f>IFERROR(__xludf.DUMMYFUNCTION("IF(REGEXMATCH(A910, ""^00-""), 0, IF(AND(EQ(F910, """"), NE(G910, """")), 1, 0))"),0.0)</f>
        <v>0</v>
      </c>
      <c r="Q910" s="6">
        <f>IFERROR(__xludf.DUMMYFUNCTION("IF(REGEXMATCH(A910, ""^00-""), 0, IF(AND(NE(F910, """"), NE(G910, """")), 1, 0))"),1.0)</f>
        <v>1</v>
      </c>
      <c r="R910" s="6">
        <f t="shared" si="1"/>
        <v>1</v>
      </c>
    </row>
    <row r="911">
      <c r="A911" s="1" t="s">
        <v>129</v>
      </c>
      <c r="B911" s="1" t="s">
        <v>2470</v>
      </c>
      <c r="C911" s="1">
        <v>242.0</v>
      </c>
      <c r="D911" s="1">
        <v>225.0</v>
      </c>
      <c r="E911" s="1">
        <v>467.0</v>
      </c>
      <c r="F911" s="1" t="s">
        <v>2471</v>
      </c>
      <c r="G911" s="1" t="s">
        <v>2471</v>
      </c>
      <c r="H911" s="1" t="s">
        <v>235</v>
      </c>
      <c r="I911" s="1" t="s">
        <v>2275</v>
      </c>
      <c r="J911" s="1" t="s">
        <v>2431</v>
      </c>
      <c r="K911" s="1" t="s">
        <v>2277</v>
      </c>
      <c r="L911" s="1"/>
      <c r="M911" s="1" t="s">
        <v>2469</v>
      </c>
      <c r="N911" s="6">
        <f>IFERROR(__xludf.DUMMYFUNCTION("IF(REGEXMATCH(A911, ""^00-""), 0, IF(AND(EQ(F911, """"), EQ(G911, """")), 1, 0))"),0.0)</f>
        <v>0</v>
      </c>
      <c r="O911" s="6">
        <f>IFERROR(__xludf.DUMMYFUNCTION("IF(REGEXMATCH(A911, ""^00-""), 0, IF(AND(NE(F911, """"), EQ(G911, """")), 1, 0))"),0.0)</f>
        <v>0</v>
      </c>
      <c r="P911" s="6">
        <f>IFERROR(__xludf.DUMMYFUNCTION("IF(REGEXMATCH(A911, ""^00-""), 0, IF(AND(EQ(F911, """"), NE(G911, """")), 1, 0))"),0.0)</f>
        <v>0</v>
      </c>
      <c r="Q911" s="6">
        <f>IFERROR(__xludf.DUMMYFUNCTION("IF(REGEXMATCH(A911, ""^00-""), 0, IF(AND(NE(F911, """"), NE(G911, """")), 1, 0))"),1.0)</f>
        <v>1</v>
      </c>
      <c r="R911" s="6">
        <f t="shared" si="1"/>
        <v>1</v>
      </c>
    </row>
    <row r="912">
      <c r="A912" s="1" t="s">
        <v>129</v>
      </c>
      <c r="B912" s="1" t="s">
        <v>2472</v>
      </c>
      <c r="C912" s="1">
        <v>242.0</v>
      </c>
      <c r="D912" s="1">
        <v>225.0</v>
      </c>
      <c r="E912" s="1">
        <v>467.0</v>
      </c>
      <c r="F912" s="1" t="s">
        <v>2473</v>
      </c>
      <c r="G912" s="1" t="s">
        <v>2473</v>
      </c>
      <c r="H912" s="1" t="s">
        <v>235</v>
      </c>
      <c r="I912" s="1" t="s">
        <v>2275</v>
      </c>
      <c r="J912" s="1" t="s">
        <v>2431</v>
      </c>
      <c r="K912" s="1" t="s">
        <v>2277</v>
      </c>
      <c r="L912" s="1"/>
      <c r="M912" s="1" t="s">
        <v>2469</v>
      </c>
      <c r="N912" s="6">
        <f>IFERROR(__xludf.DUMMYFUNCTION("IF(REGEXMATCH(A912, ""^00-""), 0, IF(AND(EQ(F912, """"), EQ(G912, """")), 1, 0))"),0.0)</f>
        <v>0</v>
      </c>
      <c r="O912" s="6">
        <f>IFERROR(__xludf.DUMMYFUNCTION("IF(REGEXMATCH(A912, ""^00-""), 0, IF(AND(NE(F912, """"), EQ(G912, """")), 1, 0))"),0.0)</f>
        <v>0</v>
      </c>
      <c r="P912" s="6">
        <f>IFERROR(__xludf.DUMMYFUNCTION("IF(REGEXMATCH(A912, ""^00-""), 0, IF(AND(EQ(F912, """"), NE(G912, """")), 1, 0))"),0.0)</f>
        <v>0</v>
      </c>
      <c r="Q912" s="6">
        <f>IFERROR(__xludf.DUMMYFUNCTION("IF(REGEXMATCH(A912, ""^00-""), 0, IF(AND(NE(F912, """"), NE(G912, """")), 1, 0))"),1.0)</f>
        <v>1</v>
      </c>
      <c r="R912" s="6">
        <f t="shared" si="1"/>
        <v>1</v>
      </c>
    </row>
    <row r="913">
      <c r="A913" s="1" t="s">
        <v>129</v>
      </c>
      <c r="B913" s="1" t="s">
        <v>2474</v>
      </c>
      <c r="C913" s="1">
        <v>242.0</v>
      </c>
      <c r="D913" s="1">
        <v>225.0</v>
      </c>
      <c r="E913" s="1">
        <v>467.0</v>
      </c>
      <c r="F913" s="1" t="s">
        <v>2475</v>
      </c>
      <c r="G913" s="1" t="s">
        <v>2475</v>
      </c>
      <c r="H913" s="1" t="s">
        <v>235</v>
      </c>
      <c r="I913" s="1" t="s">
        <v>2275</v>
      </c>
      <c r="J913" s="1" t="s">
        <v>2431</v>
      </c>
      <c r="K913" s="1" t="s">
        <v>2277</v>
      </c>
      <c r="L913" s="1"/>
      <c r="M913" s="1" t="s">
        <v>2469</v>
      </c>
      <c r="N913" s="6">
        <f>IFERROR(__xludf.DUMMYFUNCTION("IF(REGEXMATCH(A913, ""^00-""), 0, IF(AND(EQ(F913, """"), EQ(G913, """")), 1, 0))"),0.0)</f>
        <v>0</v>
      </c>
      <c r="O913" s="6">
        <f>IFERROR(__xludf.DUMMYFUNCTION("IF(REGEXMATCH(A913, ""^00-""), 0, IF(AND(NE(F913, """"), EQ(G913, """")), 1, 0))"),0.0)</f>
        <v>0</v>
      </c>
      <c r="P913" s="6">
        <f>IFERROR(__xludf.DUMMYFUNCTION("IF(REGEXMATCH(A913, ""^00-""), 0, IF(AND(EQ(F913, """"), NE(G913, """")), 1, 0))"),0.0)</f>
        <v>0</v>
      </c>
      <c r="Q913" s="6">
        <f>IFERROR(__xludf.DUMMYFUNCTION("IF(REGEXMATCH(A913, ""^00-""), 0, IF(AND(NE(F913, """"), NE(G913, """")), 1, 0))"),1.0)</f>
        <v>1</v>
      </c>
      <c r="R913" s="6">
        <f t="shared" si="1"/>
        <v>1</v>
      </c>
    </row>
    <row r="914">
      <c r="A914" s="1" t="s">
        <v>129</v>
      </c>
      <c r="B914" s="1" t="s">
        <v>2476</v>
      </c>
      <c r="C914" s="1">
        <v>242.0</v>
      </c>
      <c r="D914" s="1">
        <v>225.0</v>
      </c>
      <c r="E914" s="1">
        <v>467.0</v>
      </c>
      <c r="F914" s="1" t="s">
        <v>2477</v>
      </c>
      <c r="G914" s="1" t="s">
        <v>2477</v>
      </c>
      <c r="H914" s="1" t="s">
        <v>235</v>
      </c>
      <c r="I914" s="1" t="s">
        <v>2275</v>
      </c>
      <c r="J914" s="1" t="s">
        <v>2431</v>
      </c>
      <c r="K914" s="1" t="s">
        <v>2277</v>
      </c>
      <c r="L914" s="1"/>
      <c r="M914" s="1" t="s">
        <v>2469</v>
      </c>
      <c r="N914" s="6">
        <f>IFERROR(__xludf.DUMMYFUNCTION("IF(REGEXMATCH(A914, ""^00-""), 0, IF(AND(EQ(F914, """"), EQ(G914, """")), 1, 0))"),0.0)</f>
        <v>0</v>
      </c>
      <c r="O914" s="6">
        <f>IFERROR(__xludf.DUMMYFUNCTION("IF(REGEXMATCH(A914, ""^00-""), 0, IF(AND(NE(F914, """"), EQ(G914, """")), 1, 0))"),0.0)</f>
        <v>0</v>
      </c>
      <c r="P914" s="6">
        <f>IFERROR(__xludf.DUMMYFUNCTION("IF(REGEXMATCH(A914, ""^00-""), 0, IF(AND(EQ(F914, """"), NE(G914, """")), 1, 0))"),0.0)</f>
        <v>0</v>
      </c>
      <c r="Q914" s="6">
        <f>IFERROR(__xludf.DUMMYFUNCTION("IF(REGEXMATCH(A914, ""^00-""), 0, IF(AND(NE(F914, """"), NE(G914, """")), 1, 0))"),1.0)</f>
        <v>1</v>
      </c>
      <c r="R914" s="6">
        <f t="shared" si="1"/>
        <v>1</v>
      </c>
    </row>
    <row r="915">
      <c r="A915" s="1" t="s">
        <v>129</v>
      </c>
      <c r="B915" s="1" t="s">
        <v>2478</v>
      </c>
      <c r="C915" s="1">
        <v>242.0</v>
      </c>
      <c r="D915" s="1">
        <v>225.0</v>
      </c>
      <c r="E915" s="1">
        <v>467.0</v>
      </c>
      <c r="F915" s="1" t="s">
        <v>2479</v>
      </c>
      <c r="G915" s="1" t="s">
        <v>2479</v>
      </c>
      <c r="H915" s="1" t="s">
        <v>235</v>
      </c>
      <c r="I915" s="1" t="s">
        <v>2275</v>
      </c>
      <c r="J915" s="1" t="s">
        <v>2431</v>
      </c>
      <c r="K915" s="1" t="s">
        <v>2277</v>
      </c>
      <c r="L915" s="1"/>
      <c r="M915" s="1" t="s">
        <v>2469</v>
      </c>
      <c r="N915" s="6">
        <f>IFERROR(__xludf.DUMMYFUNCTION("IF(REGEXMATCH(A915, ""^00-""), 0, IF(AND(EQ(F915, """"), EQ(G915, """")), 1, 0))"),0.0)</f>
        <v>0</v>
      </c>
      <c r="O915" s="6">
        <f>IFERROR(__xludf.DUMMYFUNCTION("IF(REGEXMATCH(A915, ""^00-""), 0, IF(AND(NE(F915, """"), EQ(G915, """")), 1, 0))"),0.0)</f>
        <v>0</v>
      </c>
      <c r="P915" s="6">
        <f>IFERROR(__xludf.DUMMYFUNCTION("IF(REGEXMATCH(A915, ""^00-""), 0, IF(AND(EQ(F915, """"), NE(G915, """")), 1, 0))"),0.0)</f>
        <v>0</v>
      </c>
      <c r="Q915" s="6">
        <f>IFERROR(__xludf.DUMMYFUNCTION("IF(REGEXMATCH(A915, ""^00-""), 0, IF(AND(NE(F915, """"), NE(G915, """")), 1, 0))"),1.0)</f>
        <v>1</v>
      </c>
      <c r="R915" s="6">
        <f t="shared" si="1"/>
        <v>1</v>
      </c>
    </row>
    <row r="916">
      <c r="A916" s="1" t="s">
        <v>129</v>
      </c>
      <c r="B916" s="1" t="s">
        <v>2480</v>
      </c>
      <c r="C916" s="1">
        <v>242.0</v>
      </c>
      <c r="D916" s="1">
        <v>225.0</v>
      </c>
      <c r="E916" s="1">
        <v>467.0</v>
      </c>
      <c r="F916" s="1" t="s">
        <v>2481</v>
      </c>
      <c r="G916" s="1" t="s">
        <v>2481</v>
      </c>
      <c r="H916" s="1" t="s">
        <v>235</v>
      </c>
      <c r="I916" s="1" t="s">
        <v>2275</v>
      </c>
      <c r="J916" s="1" t="s">
        <v>2431</v>
      </c>
      <c r="K916" s="1" t="s">
        <v>2277</v>
      </c>
      <c r="L916" s="1"/>
      <c r="M916" s="1" t="s">
        <v>2469</v>
      </c>
      <c r="N916" s="6">
        <f>IFERROR(__xludf.DUMMYFUNCTION("IF(REGEXMATCH(A916, ""^00-""), 0, IF(AND(EQ(F916, """"), EQ(G916, """")), 1, 0))"),0.0)</f>
        <v>0</v>
      </c>
      <c r="O916" s="6">
        <f>IFERROR(__xludf.DUMMYFUNCTION("IF(REGEXMATCH(A916, ""^00-""), 0, IF(AND(NE(F916, """"), EQ(G916, """")), 1, 0))"),0.0)</f>
        <v>0</v>
      </c>
      <c r="P916" s="6">
        <f>IFERROR(__xludf.DUMMYFUNCTION("IF(REGEXMATCH(A916, ""^00-""), 0, IF(AND(EQ(F916, """"), NE(G916, """")), 1, 0))"),0.0)</f>
        <v>0</v>
      </c>
      <c r="Q916" s="6">
        <f>IFERROR(__xludf.DUMMYFUNCTION("IF(REGEXMATCH(A916, ""^00-""), 0, IF(AND(NE(F916, """"), NE(G916, """")), 1, 0))"),1.0)</f>
        <v>1</v>
      </c>
      <c r="R916" s="6">
        <f t="shared" si="1"/>
        <v>1</v>
      </c>
    </row>
    <row r="917">
      <c r="A917" s="1" t="s">
        <v>129</v>
      </c>
      <c r="B917" s="1" t="s">
        <v>2482</v>
      </c>
      <c r="C917" s="1">
        <v>242.0</v>
      </c>
      <c r="D917" s="1">
        <v>225.0</v>
      </c>
      <c r="E917" s="1">
        <v>467.0</v>
      </c>
      <c r="F917" s="1" t="s">
        <v>2483</v>
      </c>
      <c r="G917" s="1" t="s">
        <v>2483</v>
      </c>
      <c r="H917" s="1" t="s">
        <v>235</v>
      </c>
      <c r="I917" s="1" t="s">
        <v>2275</v>
      </c>
      <c r="J917" s="1" t="s">
        <v>2431</v>
      </c>
      <c r="K917" s="1" t="s">
        <v>2277</v>
      </c>
      <c r="L917" s="1"/>
      <c r="M917" s="1" t="s">
        <v>2469</v>
      </c>
      <c r="N917" s="6">
        <f>IFERROR(__xludf.DUMMYFUNCTION("IF(REGEXMATCH(A917, ""^00-""), 0, IF(AND(EQ(F917, """"), EQ(G917, """")), 1, 0))"),0.0)</f>
        <v>0</v>
      </c>
      <c r="O917" s="6">
        <f>IFERROR(__xludf.DUMMYFUNCTION("IF(REGEXMATCH(A917, ""^00-""), 0, IF(AND(NE(F917, """"), EQ(G917, """")), 1, 0))"),0.0)</f>
        <v>0</v>
      </c>
      <c r="P917" s="6">
        <f>IFERROR(__xludf.DUMMYFUNCTION("IF(REGEXMATCH(A917, ""^00-""), 0, IF(AND(EQ(F917, """"), NE(G917, """")), 1, 0))"),0.0)</f>
        <v>0</v>
      </c>
      <c r="Q917" s="6">
        <f>IFERROR(__xludf.DUMMYFUNCTION("IF(REGEXMATCH(A917, ""^00-""), 0, IF(AND(NE(F917, """"), NE(G917, """")), 1, 0))"),1.0)</f>
        <v>1</v>
      </c>
      <c r="R917" s="6">
        <f t="shared" si="1"/>
        <v>1</v>
      </c>
    </row>
    <row r="918">
      <c r="A918" s="1" t="s">
        <v>129</v>
      </c>
      <c r="B918" s="1" t="s">
        <v>2484</v>
      </c>
      <c r="C918" s="1">
        <v>242.0</v>
      </c>
      <c r="D918" s="1">
        <v>225.0</v>
      </c>
      <c r="E918" s="1">
        <v>467.0</v>
      </c>
      <c r="F918" s="1" t="s">
        <v>2485</v>
      </c>
      <c r="G918" s="1" t="s">
        <v>2485</v>
      </c>
      <c r="H918" s="1" t="s">
        <v>235</v>
      </c>
      <c r="I918" s="1" t="s">
        <v>2275</v>
      </c>
      <c r="J918" s="1" t="s">
        <v>2431</v>
      </c>
      <c r="K918" s="1" t="s">
        <v>2277</v>
      </c>
      <c r="L918" s="1"/>
      <c r="M918" s="1" t="s">
        <v>2469</v>
      </c>
      <c r="N918" s="6">
        <f>IFERROR(__xludf.DUMMYFUNCTION("IF(REGEXMATCH(A918, ""^00-""), 0, IF(AND(EQ(F918, """"), EQ(G918, """")), 1, 0))"),0.0)</f>
        <v>0</v>
      </c>
      <c r="O918" s="6">
        <f>IFERROR(__xludf.DUMMYFUNCTION("IF(REGEXMATCH(A918, ""^00-""), 0, IF(AND(NE(F918, """"), EQ(G918, """")), 1, 0))"),0.0)</f>
        <v>0</v>
      </c>
      <c r="P918" s="6">
        <f>IFERROR(__xludf.DUMMYFUNCTION("IF(REGEXMATCH(A918, ""^00-""), 0, IF(AND(EQ(F918, """"), NE(G918, """")), 1, 0))"),0.0)</f>
        <v>0</v>
      </c>
      <c r="Q918" s="6">
        <f>IFERROR(__xludf.DUMMYFUNCTION("IF(REGEXMATCH(A918, ""^00-""), 0, IF(AND(NE(F918, """"), NE(G918, """")), 1, 0))"),1.0)</f>
        <v>1</v>
      </c>
      <c r="R918" s="6">
        <f t="shared" si="1"/>
        <v>1</v>
      </c>
    </row>
    <row r="919">
      <c r="A919" s="1" t="s">
        <v>129</v>
      </c>
      <c r="B919" s="1" t="s">
        <v>2486</v>
      </c>
      <c r="C919" s="1">
        <v>242.0</v>
      </c>
      <c r="D919" s="1">
        <v>225.0</v>
      </c>
      <c r="E919" s="1">
        <v>467.0</v>
      </c>
      <c r="F919" s="1" t="s">
        <v>2487</v>
      </c>
      <c r="G919" s="1" t="s">
        <v>2487</v>
      </c>
      <c r="H919" s="1" t="s">
        <v>235</v>
      </c>
      <c r="I919" s="1" t="s">
        <v>2275</v>
      </c>
      <c r="J919" s="1" t="s">
        <v>2431</v>
      </c>
      <c r="K919" s="1" t="s">
        <v>2277</v>
      </c>
      <c r="L919" s="1"/>
      <c r="M919" s="1" t="s">
        <v>2469</v>
      </c>
      <c r="N919" s="6">
        <f>IFERROR(__xludf.DUMMYFUNCTION("IF(REGEXMATCH(A919, ""^00-""), 0, IF(AND(EQ(F919, """"), EQ(G919, """")), 1, 0))"),0.0)</f>
        <v>0</v>
      </c>
      <c r="O919" s="6">
        <f>IFERROR(__xludf.DUMMYFUNCTION("IF(REGEXMATCH(A919, ""^00-""), 0, IF(AND(NE(F919, """"), EQ(G919, """")), 1, 0))"),0.0)</f>
        <v>0</v>
      </c>
      <c r="P919" s="6">
        <f>IFERROR(__xludf.DUMMYFUNCTION("IF(REGEXMATCH(A919, ""^00-""), 0, IF(AND(EQ(F919, """"), NE(G919, """")), 1, 0))"),0.0)</f>
        <v>0</v>
      </c>
      <c r="Q919" s="6">
        <f>IFERROR(__xludf.DUMMYFUNCTION("IF(REGEXMATCH(A919, ""^00-""), 0, IF(AND(NE(F919, """"), NE(G919, """")), 1, 0))"),1.0)</f>
        <v>1</v>
      </c>
      <c r="R919" s="6">
        <f t="shared" si="1"/>
        <v>1</v>
      </c>
    </row>
    <row r="920">
      <c r="A920" s="1" t="s">
        <v>129</v>
      </c>
      <c r="B920" s="1" t="s">
        <v>2488</v>
      </c>
      <c r="C920" s="1">
        <v>242.0</v>
      </c>
      <c r="D920" s="1">
        <v>225.0</v>
      </c>
      <c r="E920" s="1">
        <v>467.0</v>
      </c>
      <c r="F920" s="1" t="s">
        <v>2489</v>
      </c>
      <c r="G920" s="1" t="s">
        <v>2489</v>
      </c>
      <c r="H920" s="1" t="s">
        <v>235</v>
      </c>
      <c r="I920" s="1" t="s">
        <v>2275</v>
      </c>
      <c r="J920" s="1" t="s">
        <v>2431</v>
      </c>
      <c r="K920" s="1" t="s">
        <v>2277</v>
      </c>
      <c r="L920" s="1"/>
      <c r="M920" s="1" t="s">
        <v>2469</v>
      </c>
      <c r="N920" s="6">
        <f>IFERROR(__xludf.DUMMYFUNCTION("IF(REGEXMATCH(A920, ""^00-""), 0, IF(AND(EQ(F920, """"), EQ(G920, """")), 1, 0))"),0.0)</f>
        <v>0</v>
      </c>
      <c r="O920" s="6">
        <f>IFERROR(__xludf.DUMMYFUNCTION("IF(REGEXMATCH(A920, ""^00-""), 0, IF(AND(NE(F920, """"), EQ(G920, """")), 1, 0))"),0.0)</f>
        <v>0</v>
      </c>
      <c r="P920" s="6">
        <f>IFERROR(__xludf.DUMMYFUNCTION("IF(REGEXMATCH(A920, ""^00-""), 0, IF(AND(EQ(F920, """"), NE(G920, """")), 1, 0))"),0.0)</f>
        <v>0</v>
      </c>
      <c r="Q920" s="6">
        <f>IFERROR(__xludf.DUMMYFUNCTION("IF(REGEXMATCH(A920, ""^00-""), 0, IF(AND(NE(F920, """"), NE(G920, """")), 1, 0))"),1.0)</f>
        <v>1</v>
      </c>
      <c r="R920" s="6">
        <f t="shared" si="1"/>
        <v>1</v>
      </c>
    </row>
    <row r="921">
      <c r="A921" s="1" t="s">
        <v>129</v>
      </c>
      <c r="B921" s="1" t="s">
        <v>408</v>
      </c>
      <c r="C921" s="1">
        <v>242.0</v>
      </c>
      <c r="D921" s="1">
        <v>225.0</v>
      </c>
      <c r="E921" s="1">
        <v>467.0</v>
      </c>
      <c r="F921" s="1" t="s">
        <v>2490</v>
      </c>
      <c r="G921" s="1" t="s">
        <v>2490</v>
      </c>
      <c r="H921" s="1" t="s">
        <v>235</v>
      </c>
      <c r="I921" s="1" t="s">
        <v>2275</v>
      </c>
      <c r="J921" s="1" t="s">
        <v>2431</v>
      </c>
      <c r="K921" s="1" t="s">
        <v>2277</v>
      </c>
      <c r="L921" s="1"/>
      <c r="M921" s="1" t="s">
        <v>2469</v>
      </c>
      <c r="N921" s="6">
        <f>IFERROR(__xludf.DUMMYFUNCTION("IF(REGEXMATCH(A921, ""^00-""), 0, IF(AND(EQ(F921, """"), EQ(G921, """")), 1, 0))"),0.0)</f>
        <v>0</v>
      </c>
      <c r="O921" s="6">
        <f>IFERROR(__xludf.DUMMYFUNCTION("IF(REGEXMATCH(A921, ""^00-""), 0, IF(AND(NE(F921, """"), EQ(G921, """")), 1, 0))"),0.0)</f>
        <v>0</v>
      </c>
      <c r="P921" s="6">
        <f>IFERROR(__xludf.DUMMYFUNCTION("IF(REGEXMATCH(A921, ""^00-""), 0, IF(AND(EQ(F921, """"), NE(G921, """")), 1, 0))"),0.0)</f>
        <v>0</v>
      </c>
      <c r="Q921" s="6">
        <f>IFERROR(__xludf.DUMMYFUNCTION("IF(REGEXMATCH(A921, ""^00-""), 0, IF(AND(NE(F921, """"), NE(G921, """")), 1, 0))"),1.0)</f>
        <v>1</v>
      </c>
      <c r="R921" s="6">
        <f t="shared" si="1"/>
        <v>1</v>
      </c>
    </row>
    <row r="922">
      <c r="A922" s="1" t="s">
        <v>129</v>
      </c>
      <c r="B922" s="1" t="s">
        <v>2491</v>
      </c>
      <c r="C922" s="1">
        <v>242.0</v>
      </c>
      <c r="D922" s="1">
        <v>225.0</v>
      </c>
      <c r="E922" s="1">
        <v>467.0</v>
      </c>
      <c r="F922" s="1" t="s">
        <v>2492</v>
      </c>
      <c r="G922" s="1" t="s">
        <v>2492</v>
      </c>
      <c r="H922" s="1" t="s">
        <v>235</v>
      </c>
      <c r="I922" s="1" t="s">
        <v>2275</v>
      </c>
      <c r="J922" s="1" t="s">
        <v>2431</v>
      </c>
      <c r="K922" s="1" t="s">
        <v>2277</v>
      </c>
      <c r="L922" s="1"/>
      <c r="M922" s="1" t="s">
        <v>2469</v>
      </c>
      <c r="N922" s="6">
        <f>IFERROR(__xludf.DUMMYFUNCTION("IF(REGEXMATCH(A922, ""^00-""), 0, IF(AND(EQ(F922, """"), EQ(G922, """")), 1, 0))"),0.0)</f>
        <v>0</v>
      </c>
      <c r="O922" s="6">
        <f>IFERROR(__xludf.DUMMYFUNCTION("IF(REGEXMATCH(A922, ""^00-""), 0, IF(AND(NE(F922, """"), EQ(G922, """")), 1, 0))"),0.0)</f>
        <v>0</v>
      </c>
      <c r="P922" s="6">
        <f>IFERROR(__xludf.DUMMYFUNCTION("IF(REGEXMATCH(A922, ""^00-""), 0, IF(AND(EQ(F922, """"), NE(G922, """")), 1, 0))"),0.0)</f>
        <v>0</v>
      </c>
      <c r="Q922" s="6">
        <f>IFERROR(__xludf.DUMMYFUNCTION("IF(REGEXMATCH(A922, ""^00-""), 0, IF(AND(NE(F922, """"), NE(G922, """")), 1, 0))"),1.0)</f>
        <v>1</v>
      </c>
      <c r="R922" s="6">
        <f t="shared" si="1"/>
        <v>1</v>
      </c>
    </row>
    <row r="923">
      <c r="A923" s="1" t="s">
        <v>129</v>
      </c>
      <c r="B923" s="1" t="s">
        <v>2493</v>
      </c>
      <c r="C923" s="1">
        <v>242.0</v>
      </c>
      <c r="D923" s="1">
        <v>225.0</v>
      </c>
      <c r="E923" s="1">
        <v>467.0</v>
      </c>
      <c r="F923" s="1" t="s">
        <v>2494</v>
      </c>
      <c r="G923" s="1" t="s">
        <v>2494</v>
      </c>
      <c r="H923" s="1" t="s">
        <v>235</v>
      </c>
      <c r="I923" s="1" t="s">
        <v>2275</v>
      </c>
      <c r="J923" s="1" t="s">
        <v>2431</v>
      </c>
      <c r="K923" s="1" t="s">
        <v>2277</v>
      </c>
      <c r="L923" s="1"/>
      <c r="M923" s="1" t="s">
        <v>2469</v>
      </c>
      <c r="N923" s="6">
        <f>IFERROR(__xludf.DUMMYFUNCTION("IF(REGEXMATCH(A923, ""^00-""), 0, IF(AND(EQ(F923, """"), EQ(G923, """")), 1, 0))"),0.0)</f>
        <v>0</v>
      </c>
      <c r="O923" s="6">
        <f>IFERROR(__xludf.DUMMYFUNCTION("IF(REGEXMATCH(A923, ""^00-""), 0, IF(AND(NE(F923, """"), EQ(G923, """")), 1, 0))"),0.0)</f>
        <v>0</v>
      </c>
      <c r="P923" s="6">
        <f>IFERROR(__xludf.DUMMYFUNCTION("IF(REGEXMATCH(A923, ""^00-""), 0, IF(AND(EQ(F923, """"), NE(G923, """")), 1, 0))"),0.0)</f>
        <v>0</v>
      </c>
      <c r="Q923" s="6">
        <f>IFERROR(__xludf.DUMMYFUNCTION("IF(REGEXMATCH(A923, ""^00-""), 0, IF(AND(NE(F923, """"), NE(G923, """")), 1, 0))"),1.0)</f>
        <v>1</v>
      </c>
      <c r="R923" s="6">
        <f t="shared" si="1"/>
        <v>1</v>
      </c>
    </row>
    <row r="924">
      <c r="A924" s="1" t="s">
        <v>129</v>
      </c>
      <c r="B924" s="1" t="s">
        <v>2495</v>
      </c>
      <c r="C924" s="1">
        <v>242.0</v>
      </c>
      <c r="D924" s="1">
        <v>225.0</v>
      </c>
      <c r="E924" s="1">
        <v>467.0</v>
      </c>
      <c r="F924" s="1" t="s">
        <v>2496</v>
      </c>
      <c r="G924" s="1" t="s">
        <v>2496</v>
      </c>
      <c r="H924" s="1" t="s">
        <v>235</v>
      </c>
      <c r="I924" s="1" t="s">
        <v>2275</v>
      </c>
      <c r="J924" s="1" t="s">
        <v>2431</v>
      </c>
      <c r="K924" s="1" t="s">
        <v>2277</v>
      </c>
      <c r="L924" s="1"/>
      <c r="M924" s="1" t="s">
        <v>2469</v>
      </c>
      <c r="N924" s="6">
        <f>IFERROR(__xludf.DUMMYFUNCTION("IF(REGEXMATCH(A924, ""^00-""), 0, IF(AND(EQ(F924, """"), EQ(G924, """")), 1, 0))"),0.0)</f>
        <v>0</v>
      </c>
      <c r="O924" s="6">
        <f>IFERROR(__xludf.DUMMYFUNCTION("IF(REGEXMATCH(A924, ""^00-""), 0, IF(AND(NE(F924, """"), EQ(G924, """")), 1, 0))"),0.0)</f>
        <v>0</v>
      </c>
      <c r="P924" s="6">
        <f>IFERROR(__xludf.DUMMYFUNCTION("IF(REGEXMATCH(A924, ""^00-""), 0, IF(AND(EQ(F924, """"), NE(G924, """")), 1, 0))"),0.0)</f>
        <v>0</v>
      </c>
      <c r="Q924" s="6">
        <f>IFERROR(__xludf.DUMMYFUNCTION("IF(REGEXMATCH(A924, ""^00-""), 0, IF(AND(NE(F924, """"), NE(G924, """")), 1, 0))"),1.0)</f>
        <v>1</v>
      </c>
      <c r="R924" s="6">
        <f t="shared" si="1"/>
        <v>1</v>
      </c>
    </row>
    <row r="925">
      <c r="A925" s="1" t="s">
        <v>129</v>
      </c>
      <c r="B925" s="1" t="s">
        <v>2497</v>
      </c>
      <c r="C925" s="1">
        <v>242.0</v>
      </c>
      <c r="D925" s="1">
        <v>225.0</v>
      </c>
      <c r="E925" s="1">
        <v>467.0</v>
      </c>
      <c r="F925" s="1" t="s">
        <v>2498</v>
      </c>
      <c r="G925" s="1" t="s">
        <v>2498</v>
      </c>
      <c r="H925" s="1" t="s">
        <v>235</v>
      </c>
      <c r="I925" s="1" t="s">
        <v>2275</v>
      </c>
      <c r="J925" s="1" t="s">
        <v>2431</v>
      </c>
      <c r="K925" s="1" t="s">
        <v>2277</v>
      </c>
      <c r="L925" s="1"/>
      <c r="M925" s="1" t="s">
        <v>2469</v>
      </c>
      <c r="N925" s="6">
        <f>IFERROR(__xludf.DUMMYFUNCTION("IF(REGEXMATCH(A925, ""^00-""), 0, IF(AND(EQ(F925, """"), EQ(G925, """")), 1, 0))"),0.0)</f>
        <v>0</v>
      </c>
      <c r="O925" s="6">
        <f>IFERROR(__xludf.DUMMYFUNCTION("IF(REGEXMATCH(A925, ""^00-""), 0, IF(AND(NE(F925, """"), EQ(G925, """")), 1, 0))"),0.0)</f>
        <v>0</v>
      </c>
      <c r="P925" s="6">
        <f>IFERROR(__xludf.DUMMYFUNCTION("IF(REGEXMATCH(A925, ""^00-""), 0, IF(AND(EQ(F925, """"), NE(G925, """")), 1, 0))"),0.0)</f>
        <v>0</v>
      </c>
      <c r="Q925" s="6">
        <f>IFERROR(__xludf.DUMMYFUNCTION("IF(REGEXMATCH(A925, ""^00-""), 0, IF(AND(NE(F925, """"), NE(G925, """")), 1, 0))"),1.0)</f>
        <v>1</v>
      </c>
      <c r="R925" s="6">
        <f t="shared" si="1"/>
        <v>1</v>
      </c>
    </row>
    <row r="926">
      <c r="A926" s="1" t="s">
        <v>129</v>
      </c>
      <c r="B926" s="1" t="s">
        <v>2499</v>
      </c>
      <c r="C926" s="1">
        <v>242.0</v>
      </c>
      <c r="D926" s="1">
        <v>225.0</v>
      </c>
      <c r="E926" s="1">
        <v>467.0</v>
      </c>
      <c r="F926" s="1" t="s">
        <v>2500</v>
      </c>
      <c r="G926" s="1" t="s">
        <v>2500</v>
      </c>
      <c r="H926" s="1" t="s">
        <v>235</v>
      </c>
      <c r="I926" s="1" t="s">
        <v>2275</v>
      </c>
      <c r="J926" s="1" t="s">
        <v>2431</v>
      </c>
      <c r="K926" s="1" t="s">
        <v>2277</v>
      </c>
      <c r="L926" s="1"/>
      <c r="M926" s="1" t="s">
        <v>2469</v>
      </c>
      <c r="N926" s="6">
        <f>IFERROR(__xludf.DUMMYFUNCTION("IF(REGEXMATCH(A926, ""^00-""), 0, IF(AND(EQ(F926, """"), EQ(G926, """")), 1, 0))"),0.0)</f>
        <v>0</v>
      </c>
      <c r="O926" s="6">
        <f>IFERROR(__xludf.DUMMYFUNCTION("IF(REGEXMATCH(A926, ""^00-""), 0, IF(AND(NE(F926, """"), EQ(G926, """")), 1, 0))"),0.0)</f>
        <v>0</v>
      </c>
      <c r="P926" s="6">
        <f>IFERROR(__xludf.DUMMYFUNCTION("IF(REGEXMATCH(A926, ""^00-""), 0, IF(AND(EQ(F926, """"), NE(G926, """")), 1, 0))"),0.0)</f>
        <v>0</v>
      </c>
      <c r="Q926" s="6">
        <f>IFERROR(__xludf.DUMMYFUNCTION("IF(REGEXMATCH(A926, ""^00-""), 0, IF(AND(NE(F926, """"), NE(G926, """")), 1, 0))"),1.0)</f>
        <v>1</v>
      </c>
      <c r="R926" s="6">
        <f t="shared" si="1"/>
        <v>1</v>
      </c>
    </row>
    <row r="927">
      <c r="A927" s="1" t="s">
        <v>129</v>
      </c>
      <c r="B927" s="1" t="s">
        <v>2501</v>
      </c>
      <c r="C927" s="1">
        <v>242.0</v>
      </c>
      <c r="D927" s="1">
        <v>225.0</v>
      </c>
      <c r="E927" s="1">
        <v>467.0</v>
      </c>
      <c r="F927" s="1" t="s">
        <v>2502</v>
      </c>
      <c r="G927" s="1" t="s">
        <v>2502</v>
      </c>
      <c r="H927" s="1" t="s">
        <v>235</v>
      </c>
      <c r="I927" s="1" t="s">
        <v>2275</v>
      </c>
      <c r="J927" s="1" t="s">
        <v>2431</v>
      </c>
      <c r="K927" s="1" t="s">
        <v>2277</v>
      </c>
      <c r="L927" s="1"/>
      <c r="M927" s="1" t="s">
        <v>2469</v>
      </c>
      <c r="N927" s="6">
        <f>IFERROR(__xludf.DUMMYFUNCTION("IF(REGEXMATCH(A927, ""^00-""), 0, IF(AND(EQ(F927, """"), EQ(G927, """")), 1, 0))"),0.0)</f>
        <v>0</v>
      </c>
      <c r="O927" s="6">
        <f>IFERROR(__xludf.DUMMYFUNCTION("IF(REGEXMATCH(A927, ""^00-""), 0, IF(AND(NE(F927, """"), EQ(G927, """")), 1, 0))"),0.0)</f>
        <v>0</v>
      </c>
      <c r="P927" s="6">
        <f>IFERROR(__xludf.DUMMYFUNCTION("IF(REGEXMATCH(A927, ""^00-""), 0, IF(AND(EQ(F927, """"), NE(G927, """")), 1, 0))"),0.0)</f>
        <v>0</v>
      </c>
      <c r="Q927" s="6">
        <f>IFERROR(__xludf.DUMMYFUNCTION("IF(REGEXMATCH(A927, ""^00-""), 0, IF(AND(NE(F927, """"), NE(G927, """")), 1, 0))"),1.0)</f>
        <v>1</v>
      </c>
      <c r="R927" s="6">
        <f t="shared" si="1"/>
        <v>1</v>
      </c>
    </row>
    <row r="928">
      <c r="A928" s="1" t="s">
        <v>129</v>
      </c>
      <c r="B928" s="1" t="s">
        <v>2503</v>
      </c>
      <c r="C928" s="1">
        <v>26.0</v>
      </c>
      <c r="D928" s="1">
        <v>441.0</v>
      </c>
      <c r="E928" s="1">
        <v>467.0</v>
      </c>
      <c r="F928" s="1" t="s">
        <v>2504</v>
      </c>
      <c r="G928" s="1" t="s">
        <v>2504</v>
      </c>
      <c r="H928" s="1" t="s">
        <v>171</v>
      </c>
      <c r="I928" s="1" t="s">
        <v>2275</v>
      </c>
      <c r="J928" s="1" t="s">
        <v>2431</v>
      </c>
      <c r="K928" s="1" t="s">
        <v>2277</v>
      </c>
      <c r="L928" s="1"/>
      <c r="M928" s="1" t="s">
        <v>171</v>
      </c>
      <c r="N928" s="6">
        <f>IFERROR(__xludf.DUMMYFUNCTION("IF(REGEXMATCH(A928, ""^00-""), 0, IF(AND(EQ(F928, """"), EQ(G928, """")), 1, 0))"),0.0)</f>
        <v>0</v>
      </c>
      <c r="O928" s="6">
        <f>IFERROR(__xludf.DUMMYFUNCTION("IF(REGEXMATCH(A928, ""^00-""), 0, IF(AND(NE(F928, """"), EQ(G928, """")), 1, 0))"),0.0)</f>
        <v>0</v>
      </c>
      <c r="P928" s="6">
        <f>IFERROR(__xludf.DUMMYFUNCTION("IF(REGEXMATCH(A928, ""^00-""), 0, IF(AND(EQ(F928, """"), NE(G928, """")), 1, 0))"),0.0)</f>
        <v>0</v>
      </c>
      <c r="Q928" s="6">
        <f>IFERROR(__xludf.DUMMYFUNCTION("IF(REGEXMATCH(A928, ""^00-""), 0, IF(AND(NE(F928, """"), NE(G928, """")), 1, 0))"),1.0)</f>
        <v>1</v>
      </c>
      <c r="R928" s="6">
        <f t="shared" si="1"/>
        <v>1</v>
      </c>
    </row>
    <row r="929">
      <c r="A929" s="1" t="s">
        <v>129</v>
      </c>
      <c r="B929" s="1" t="s">
        <v>2505</v>
      </c>
      <c r="C929" s="1">
        <v>430.0</v>
      </c>
      <c r="D929" s="1">
        <v>37.0</v>
      </c>
      <c r="E929" s="1">
        <v>467.0</v>
      </c>
      <c r="F929" s="1" t="s">
        <v>2506</v>
      </c>
      <c r="G929" s="1" t="s">
        <v>2506</v>
      </c>
      <c r="H929" s="1" t="s">
        <v>190</v>
      </c>
      <c r="I929" s="1" t="s">
        <v>2275</v>
      </c>
      <c r="J929" s="1" t="s">
        <v>2431</v>
      </c>
      <c r="K929" s="1" t="s">
        <v>2277</v>
      </c>
      <c r="L929" s="1"/>
      <c r="M929" s="1" t="s">
        <v>191</v>
      </c>
      <c r="N929" s="6">
        <f>IFERROR(__xludf.DUMMYFUNCTION("IF(REGEXMATCH(A929, ""^00-""), 0, IF(AND(EQ(F929, """"), EQ(G929, """")), 1, 0))"),0.0)</f>
        <v>0</v>
      </c>
      <c r="O929" s="6">
        <f>IFERROR(__xludf.DUMMYFUNCTION("IF(REGEXMATCH(A929, ""^00-""), 0, IF(AND(NE(F929, """"), EQ(G929, """")), 1, 0))"),0.0)</f>
        <v>0</v>
      </c>
      <c r="P929" s="6">
        <f>IFERROR(__xludf.DUMMYFUNCTION("IF(REGEXMATCH(A929, ""^00-""), 0, IF(AND(EQ(F929, """"), NE(G929, """")), 1, 0))"),0.0)</f>
        <v>0</v>
      </c>
      <c r="Q929" s="6">
        <f>IFERROR(__xludf.DUMMYFUNCTION("IF(REGEXMATCH(A929, ""^00-""), 0, IF(AND(NE(F929, """"), NE(G929, """")), 1, 0))"),1.0)</f>
        <v>1</v>
      </c>
      <c r="R929" s="6">
        <f t="shared" si="1"/>
        <v>1</v>
      </c>
    </row>
    <row r="930">
      <c r="A930" s="1" t="s">
        <v>129</v>
      </c>
      <c r="B930" s="1" t="s">
        <v>2507</v>
      </c>
      <c r="C930" s="1">
        <v>430.0</v>
      </c>
      <c r="D930" s="1">
        <v>37.0</v>
      </c>
      <c r="E930" s="1">
        <v>467.0</v>
      </c>
      <c r="F930" s="1" t="s">
        <v>2508</v>
      </c>
      <c r="G930" s="1" t="s">
        <v>2508</v>
      </c>
      <c r="H930" s="1" t="s">
        <v>190</v>
      </c>
      <c r="I930" s="1" t="s">
        <v>2275</v>
      </c>
      <c r="J930" s="1" t="s">
        <v>2431</v>
      </c>
      <c r="K930" s="1" t="s">
        <v>2277</v>
      </c>
      <c r="L930" s="1"/>
      <c r="M930" s="1" t="s">
        <v>191</v>
      </c>
      <c r="N930" s="6">
        <f>IFERROR(__xludf.DUMMYFUNCTION("IF(REGEXMATCH(A930, ""^00-""), 0, IF(AND(EQ(F930, """"), EQ(G930, """")), 1, 0))"),0.0)</f>
        <v>0</v>
      </c>
      <c r="O930" s="6">
        <f>IFERROR(__xludf.DUMMYFUNCTION("IF(REGEXMATCH(A930, ""^00-""), 0, IF(AND(NE(F930, """"), EQ(G930, """")), 1, 0))"),0.0)</f>
        <v>0</v>
      </c>
      <c r="P930" s="6">
        <f>IFERROR(__xludf.DUMMYFUNCTION("IF(REGEXMATCH(A930, ""^00-""), 0, IF(AND(EQ(F930, """"), NE(G930, """")), 1, 0))"),0.0)</f>
        <v>0</v>
      </c>
      <c r="Q930" s="6">
        <f>IFERROR(__xludf.DUMMYFUNCTION("IF(REGEXMATCH(A930, ""^00-""), 0, IF(AND(NE(F930, """"), NE(G930, """")), 1, 0))"),1.0)</f>
        <v>1</v>
      </c>
      <c r="R930" s="6">
        <f t="shared" si="1"/>
        <v>1</v>
      </c>
    </row>
    <row r="931">
      <c r="A931" s="1" t="s">
        <v>129</v>
      </c>
      <c r="B931" s="1" t="s">
        <v>2509</v>
      </c>
      <c r="C931" s="1">
        <v>64.0</v>
      </c>
      <c r="D931" s="1">
        <v>403.0</v>
      </c>
      <c r="E931" s="1">
        <v>467.0</v>
      </c>
      <c r="F931" s="1" t="s">
        <v>2510</v>
      </c>
      <c r="G931" s="1" t="s">
        <v>2510</v>
      </c>
      <c r="H931" s="1" t="s">
        <v>235</v>
      </c>
      <c r="I931" s="1" t="s">
        <v>2275</v>
      </c>
      <c r="J931" s="1" t="s">
        <v>2431</v>
      </c>
      <c r="K931" s="1" t="s">
        <v>2277</v>
      </c>
      <c r="L931" s="1"/>
      <c r="M931" s="1" t="s">
        <v>2469</v>
      </c>
      <c r="N931" s="6">
        <f>IFERROR(__xludf.DUMMYFUNCTION("IF(REGEXMATCH(A931, ""^00-""), 0, IF(AND(EQ(F931, """"), EQ(G931, """")), 1, 0))"),0.0)</f>
        <v>0</v>
      </c>
      <c r="O931" s="6">
        <f>IFERROR(__xludf.DUMMYFUNCTION("IF(REGEXMATCH(A931, ""^00-""), 0, IF(AND(NE(F931, """"), EQ(G931, """")), 1, 0))"),0.0)</f>
        <v>0</v>
      </c>
      <c r="P931" s="6">
        <f>IFERROR(__xludf.DUMMYFUNCTION("IF(REGEXMATCH(A931, ""^00-""), 0, IF(AND(EQ(F931, """"), NE(G931, """")), 1, 0))"),0.0)</f>
        <v>0</v>
      </c>
      <c r="Q931" s="6">
        <f>IFERROR(__xludf.DUMMYFUNCTION("IF(REGEXMATCH(A931, ""^00-""), 0, IF(AND(NE(F931, """"), NE(G931, """")), 1, 0))"),1.0)</f>
        <v>1</v>
      </c>
      <c r="R931" s="6">
        <f t="shared" si="1"/>
        <v>1</v>
      </c>
    </row>
    <row r="932">
      <c r="A932" s="1" t="s">
        <v>129</v>
      </c>
      <c r="B932" s="1" t="s">
        <v>2511</v>
      </c>
      <c r="C932" s="1">
        <v>64.0</v>
      </c>
      <c r="D932" s="1">
        <v>403.0</v>
      </c>
      <c r="E932" s="1">
        <v>467.0</v>
      </c>
      <c r="F932" s="1" t="s">
        <v>2512</v>
      </c>
      <c r="G932" s="1" t="s">
        <v>2512</v>
      </c>
      <c r="H932" s="1" t="s">
        <v>235</v>
      </c>
      <c r="I932" s="1" t="s">
        <v>2275</v>
      </c>
      <c r="J932" s="1" t="s">
        <v>2431</v>
      </c>
      <c r="K932" s="1" t="s">
        <v>2277</v>
      </c>
      <c r="L932" s="1"/>
      <c r="M932" s="1" t="s">
        <v>2469</v>
      </c>
      <c r="N932" s="6">
        <f>IFERROR(__xludf.DUMMYFUNCTION("IF(REGEXMATCH(A932, ""^00-""), 0, IF(AND(EQ(F932, """"), EQ(G932, """")), 1, 0))"),0.0)</f>
        <v>0</v>
      </c>
      <c r="O932" s="6">
        <f>IFERROR(__xludf.DUMMYFUNCTION("IF(REGEXMATCH(A932, ""^00-""), 0, IF(AND(NE(F932, """"), EQ(G932, """")), 1, 0))"),0.0)</f>
        <v>0</v>
      </c>
      <c r="P932" s="6">
        <f>IFERROR(__xludf.DUMMYFUNCTION("IF(REGEXMATCH(A932, ""^00-""), 0, IF(AND(EQ(F932, """"), NE(G932, """")), 1, 0))"),0.0)</f>
        <v>0</v>
      </c>
      <c r="Q932" s="6">
        <f>IFERROR(__xludf.DUMMYFUNCTION("IF(REGEXMATCH(A932, ""^00-""), 0, IF(AND(NE(F932, """"), NE(G932, """")), 1, 0))"),1.0)</f>
        <v>1</v>
      </c>
      <c r="R932" s="6">
        <f t="shared" si="1"/>
        <v>1</v>
      </c>
    </row>
    <row r="933">
      <c r="A933" s="1" t="s">
        <v>129</v>
      </c>
      <c r="B933" s="1" t="s">
        <v>2513</v>
      </c>
      <c r="C933" s="1">
        <v>64.0</v>
      </c>
      <c r="D933" s="1">
        <v>403.0</v>
      </c>
      <c r="E933" s="1">
        <v>467.0</v>
      </c>
      <c r="F933" s="1" t="s">
        <v>2514</v>
      </c>
      <c r="G933" s="1" t="s">
        <v>2514</v>
      </c>
      <c r="H933" s="1" t="s">
        <v>235</v>
      </c>
      <c r="I933" s="1" t="s">
        <v>2275</v>
      </c>
      <c r="J933" s="1" t="s">
        <v>2431</v>
      </c>
      <c r="K933" s="1" t="s">
        <v>2277</v>
      </c>
      <c r="L933" s="1"/>
      <c r="M933" s="1" t="s">
        <v>2469</v>
      </c>
      <c r="N933" s="6">
        <f>IFERROR(__xludf.DUMMYFUNCTION("IF(REGEXMATCH(A933, ""^00-""), 0, IF(AND(EQ(F933, """"), EQ(G933, """")), 1, 0))"),0.0)</f>
        <v>0</v>
      </c>
      <c r="O933" s="6">
        <f>IFERROR(__xludf.DUMMYFUNCTION("IF(REGEXMATCH(A933, ""^00-""), 0, IF(AND(NE(F933, """"), EQ(G933, """")), 1, 0))"),0.0)</f>
        <v>0</v>
      </c>
      <c r="P933" s="6">
        <f>IFERROR(__xludf.DUMMYFUNCTION("IF(REGEXMATCH(A933, ""^00-""), 0, IF(AND(EQ(F933, """"), NE(G933, """")), 1, 0))"),0.0)</f>
        <v>0</v>
      </c>
      <c r="Q933" s="6">
        <f>IFERROR(__xludf.DUMMYFUNCTION("IF(REGEXMATCH(A933, ""^00-""), 0, IF(AND(NE(F933, """"), NE(G933, """")), 1, 0))"),1.0)</f>
        <v>1</v>
      </c>
      <c r="R933" s="6">
        <f t="shared" si="1"/>
        <v>1</v>
      </c>
    </row>
    <row r="934">
      <c r="A934" s="1" t="s">
        <v>129</v>
      </c>
      <c r="B934" s="1" t="s">
        <v>2515</v>
      </c>
      <c r="C934" s="1">
        <v>64.0</v>
      </c>
      <c r="D934" s="1">
        <v>403.0</v>
      </c>
      <c r="E934" s="1">
        <v>467.0</v>
      </c>
      <c r="F934" s="1" t="s">
        <v>2516</v>
      </c>
      <c r="G934" s="1" t="s">
        <v>2516</v>
      </c>
      <c r="H934" s="1" t="s">
        <v>235</v>
      </c>
      <c r="I934" s="1" t="s">
        <v>2275</v>
      </c>
      <c r="J934" s="1" t="s">
        <v>2431</v>
      </c>
      <c r="K934" s="1" t="s">
        <v>2277</v>
      </c>
      <c r="L934" s="1"/>
      <c r="M934" s="1" t="s">
        <v>2469</v>
      </c>
      <c r="N934" s="6">
        <f>IFERROR(__xludf.DUMMYFUNCTION("IF(REGEXMATCH(A934, ""^00-""), 0, IF(AND(EQ(F934, """"), EQ(G934, """")), 1, 0))"),0.0)</f>
        <v>0</v>
      </c>
      <c r="O934" s="6">
        <f>IFERROR(__xludf.DUMMYFUNCTION("IF(REGEXMATCH(A934, ""^00-""), 0, IF(AND(NE(F934, """"), EQ(G934, """")), 1, 0))"),0.0)</f>
        <v>0</v>
      </c>
      <c r="P934" s="6">
        <f>IFERROR(__xludf.DUMMYFUNCTION("IF(REGEXMATCH(A934, ""^00-""), 0, IF(AND(EQ(F934, """"), NE(G934, """")), 1, 0))"),0.0)</f>
        <v>0</v>
      </c>
      <c r="Q934" s="6">
        <f>IFERROR(__xludf.DUMMYFUNCTION("IF(REGEXMATCH(A934, ""^00-""), 0, IF(AND(NE(F934, """"), NE(G934, """")), 1, 0))"),1.0)</f>
        <v>1</v>
      </c>
      <c r="R934" s="6">
        <f t="shared" si="1"/>
        <v>1</v>
      </c>
    </row>
    <row r="935">
      <c r="A935" s="1" t="s">
        <v>129</v>
      </c>
      <c r="B935" s="1" t="s">
        <v>2517</v>
      </c>
      <c r="C935" s="1">
        <v>64.0</v>
      </c>
      <c r="D935" s="1">
        <v>403.0</v>
      </c>
      <c r="E935" s="1">
        <v>467.0</v>
      </c>
      <c r="F935" s="1" t="s">
        <v>2518</v>
      </c>
      <c r="G935" s="1" t="s">
        <v>2518</v>
      </c>
      <c r="H935" s="1" t="s">
        <v>235</v>
      </c>
      <c r="I935" s="1" t="s">
        <v>2275</v>
      </c>
      <c r="J935" s="1" t="s">
        <v>2431</v>
      </c>
      <c r="K935" s="1" t="s">
        <v>2277</v>
      </c>
      <c r="L935" s="1"/>
      <c r="M935" s="1" t="s">
        <v>2469</v>
      </c>
      <c r="N935" s="6">
        <f>IFERROR(__xludf.DUMMYFUNCTION("IF(REGEXMATCH(A935, ""^00-""), 0, IF(AND(EQ(F935, """"), EQ(G935, """")), 1, 0))"),0.0)</f>
        <v>0</v>
      </c>
      <c r="O935" s="6">
        <f>IFERROR(__xludf.DUMMYFUNCTION("IF(REGEXMATCH(A935, ""^00-""), 0, IF(AND(NE(F935, """"), EQ(G935, """")), 1, 0))"),0.0)</f>
        <v>0</v>
      </c>
      <c r="P935" s="6">
        <f>IFERROR(__xludf.DUMMYFUNCTION("IF(REGEXMATCH(A935, ""^00-""), 0, IF(AND(EQ(F935, """"), NE(G935, """")), 1, 0))"),0.0)</f>
        <v>0</v>
      </c>
      <c r="Q935" s="6">
        <f>IFERROR(__xludf.DUMMYFUNCTION("IF(REGEXMATCH(A935, ""^00-""), 0, IF(AND(NE(F935, """"), NE(G935, """")), 1, 0))"),1.0)</f>
        <v>1</v>
      </c>
      <c r="R935" s="6">
        <f t="shared" si="1"/>
        <v>1</v>
      </c>
    </row>
    <row r="936">
      <c r="A936" s="1" t="s">
        <v>129</v>
      </c>
      <c r="B936" s="1" t="s">
        <v>2519</v>
      </c>
      <c r="C936" s="1">
        <v>64.0</v>
      </c>
      <c r="D936" s="1">
        <v>403.0</v>
      </c>
      <c r="E936" s="1">
        <v>467.0</v>
      </c>
      <c r="F936" s="1" t="s">
        <v>2520</v>
      </c>
      <c r="G936" s="1" t="s">
        <v>2520</v>
      </c>
      <c r="H936" s="1" t="s">
        <v>235</v>
      </c>
      <c r="I936" s="1" t="s">
        <v>2275</v>
      </c>
      <c r="J936" s="1" t="s">
        <v>2431</v>
      </c>
      <c r="K936" s="1" t="s">
        <v>2277</v>
      </c>
      <c r="L936" s="1"/>
      <c r="M936" s="1" t="s">
        <v>2469</v>
      </c>
      <c r="N936" s="6">
        <f>IFERROR(__xludf.DUMMYFUNCTION("IF(REGEXMATCH(A936, ""^00-""), 0, IF(AND(EQ(F936, """"), EQ(G936, """")), 1, 0))"),0.0)</f>
        <v>0</v>
      </c>
      <c r="O936" s="6">
        <f>IFERROR(__xludf.DUMMYFUNCTION("IF(REGEXMATCH(A936, ""^00-""), 0, IF(AND(NE(F936, """"), EQ(G936, """")), 1, 0))"),0.0)</f>
        <v>0</v>
      </c>
      <c r="P936" s="6">
        <f>IFERROR(__xludf.DUMMYFUNCTION("IF(REGEXMATCH(A936, ""^00-""), 0, IF(AND(EQ(F936, """"), NE(G936, """")), 1, 0))"),0.0)</f>
        <v>0</v>
      </c>
      <c r="Q936" s="6">
        <f>IFERROR(__xludf.DUMMYFUNCTION("IF(REGEXMATCH(A936, ""^00-""), 0, IF(AND(NE(F936, """"), NE(G936, """")), 1, 0))"),1.0)</f>
        <v>1</v>
      </c>
      <c r="R936" s="6">
        <f t="shared" si="1"/>
        <v>1</v>
      </c>
    </row>
    <row r="937">
      <c r="A937" s="1" t="s">
        <v>129</v>
      </c>
      <c r="B937" s="1" t="s">
        <v>2521</v>
      </c>
      <c r="C937" s="1">
        <v>426.0</v>
      </c>
      <c r="D937" s="1">
        <v>41.0</v>
      </c>
      <c r="E937" s="1">
        <v>467.0</v>
      </c>
      <c r="F937" s="1" t="s">
        <v>2522</v>
      </c>
      <c r="G937" s="1" t="s">
        <v>2522</v>
      </c>
      <c r="H937" s="1" t="s">
        <v>190</v>
      </c>
      <c r="I937" s="1" t="s">
        <v>2275</v>
      </c>
      <c r="J937" s="1" t="s">
        <v>2431</v>
      </c>
      <c r="K937" s="1" t="s">
        <v>2277</v>
      </c>
      <c r="L937" s="1"/>
      <c r="M937" s="1" t="s">
        <v>191</v>
      </c>
      <c r="N937" s="6">
        <f>IFERROR(__xludf.DUMMYFUNCTION("IF(REGEXMATCH(A937, ""^00-""), 0, IF(AND(EQ(F937, """"), EQ(G937, """")), 1, 0))"),0.0)</f>
        <v>0</v>
      </c>
      <c r="O937" s="6">
        <f>IFERROR(__xludf.DUMMYFUNCTION("IF(REGEXMATCH(A937, ""^00-""), 0, IF(AND(NE(F937, """"), EQ(G937, """")), 1, 0))"),0.0)</f>
        <v>0</v>
      </c>
      <c r="P937" s="6">
        <f>IFERROR(__xludf.DUMMYFUNCTION("IF(REGEXMATCH(A937, ""^00-""), 0, IF(AND(EQ(F937, """"), NE(G937, """")), 1, 0))"),0.0)</f>
        <v>0</v>
      </c>
      <c r="Q937" s="6">
        <f>IFERROR(__xludf.DUMMYFUNCTION("IF(REGEXMATCH(A937, ""^00-""), 0, IF(AND(NE(F937, """"), NE(G937, """")), 1, 0))"),1.0)</f>
        <v>1</v>
      </c>
      <c r="R937" s="6">
        <f t="shared" si="1"/>
        <v>1</v>
      </c>
    </row>
    <row r="938">
      <c r="A938" s="1" t="s">
        <v>129</v>
      </c>
      <c r="B938" s="1" t="s">
        <v>2523</v>
      </c>
      <c r="C938" s="1">
        <v>427.0</v>
      </c>
      <c r="D938" s="1">
        <v>40.0</v>
      </c>
      <c r="E938" s="1">
        <v>467.0</v>
      </c>
      <c r="F938" s="1" t="s">
        <v>2524</v>
      </c>
      <c r="G938" s="1" t="s">
        <v>2524</v>
      </c>
      <c r="H938" s="1" t="s">
        <v>190</v>
      </c>
      <c r="I938" s="1" t="s">
        <v>2275</v>
      </c>
      <c r="J938" s="1" t="s">
        <v>2431</v>
      </c>
      <c r="K938" s="1" t="s">
        <v>2277</v>
      </c>
      <c r="L938" s="1"/>
      <c r="M938" s="1" t="s">
        <v>191</v>
      </c>
      <c r="N938" s="6">
        <f>IFERROR(__xludf.DUMMYFUNCTION("IF(REGEXMATCH(A938, ""^00-""), 0, IF(AND(EQ(F938, """"), EQ(G938, """")), 1, 0))"),0.0)</f>
        <v>0</v>
      </c>
      <c r="O938" s="6">
        <f>IFERROR(__xludf.DUMMYFUNCTION("IF(REGEXMATCH(A938, ""^00-""), 0, IF(AND(NE(F938, """"), EQ(G938, """")), 1, 0))"),0.0)</f>
        <v>0</v>
      </c>
      <c r="P938" s="6">
        <f>IFERROR(__xludf.DUMMYFUNCTION("IF(REGEXMATCH(A938, ""^00-""), 0, IF(AND(EQ(F938, """"), NE(G938, """")), 1, 0))"),0.0)</f>
        <v>0</v>
      </c>
      <c r="Q938" s="6">
        <f>IFERROR(__xludf.DUMMYFUNCTION("IF(REGEXMATCH(A938, ""^00-""), 0, IF(AND(NE(F938, """"), NE(G938, """")), 1, 0))"),1.0)</f>
        <v>1</v>
      </c>
      <c r="R938" s="6">
        <f t="shared" si="1"/>
        <v>1</v>
      </c>
    </row>
    <row r="939">
      <c r="A939" s="1" t="s">
        <v>129</v>
      </c>
      <c r="B939" s="1" t="s">
        <v>2525</v>
      </c>
      <c r="C939" s="1">
        <v>430.0</v>
      </c>
      <c r="D939" s="1">
        <v>37.0</v>
      </c>
      <c r="E939" s="1">
        <v>467.0</v>
      </c>
      <c r="F939" s="1" t="s">
        <v>2526</v>
      </c>
      <c r="G939" s="1" t="s">
        <v>2526</v>
      </c>
      <c r="H939" s="1" t="s">
        <v>190</v>
      </c>
      <c r="I939" s="1" t="s">
        <v>2275</v>
      </c>
      <c r="J939" s="1" t="s">
        <v>2431</v>
      </c>
      <c r="K939" s="1" t="s">
        <v>2277</v>
      </c>
      <c r="L939" s="1"/>
      <c r="M939" s="1" t="s">
        <v>191</v>
      </c>
      <c r="N939" s="6">
        <f>IFERROR(__xludf.DUMMYFUNCTION("IF(REGEXMATCH(A939, ""^00-""), 0, IF(AND(EQ(F939, """"), EQ(G939, """")), 1, 0))"),0.0)</f>
        <v>0</v>
      </c>
      <c r="O939" s="6">
        <f>IFERROR(__xludf.DUMMYFUNCTION("IF(REGEXMATCH(A939, ""^00-""), 0, IF(AND(NE(F939, """"), EQ(G939, """")), 1, 0))"),0.0)</f>
        <v>0</v>
      </c>
      <c r="P939" s="6">
        <f>IFERROR(__xludf.DUMMYFUNCTION("IF(REGEXMATCH(A939, ""^00-""), 0, IF(AND(EQ(F939, """"), NE(G939, """")), 1, 0))"),0.0)</f>
        <v>0</v>
      </c>
      <c r="Q939" s="6">
        <f>IFERROR(__xludf.DUMMYFUNCTION("IF(REGEXMATCH(A939, ""^00-""), 0, IF(AND(NE(F939, """"), NE(G939, """")), 1, 0))"),1.0)</f>
        <v>1</v>
      </c>
      <c r="R939" s="6">
        <f t="shared" si="1"/>
        <v>1</v>
      </c>
    </row>
    <row r="940">
      <c r="A940" s="1" t="s">
        <v>129</v>
      </c>
      <c r="B940" s="1" t="s">
        <v>2527</v>
      </c>
      <c r="C940" s="1">
        <v>430.0</v>
      </c>
      <c r="D940" s="1">
        <v>37.0</v>
      </c>
      <c r="E940" s="1">
        <v>467.0</v>
      </c>
      <c r="F940" s="1" t="s">
        <v>2528</v>
      </c>
      <c r="G940" s="1" t="s">
        <v>2528</v>
      </c>
      <c r="H940" s="1" t="s">
        <v>190</v>
      </c>
      <c r="I940" s="1" t="s">
        <v>2275</v>
      </c>
      <c r="J940" s="1" t="s">
        <v>2431</v>
      </c>
      <c r="K940" s="1" t="s">
        <v>2277</v>
      </c>
      <c r="L940" s="1"/>
      <c r="M940" s="1" t="s">
        <v>191</v>
      </c>
      <c r="N940" s="6">
        <f>IFERROR(__xludf.DUMMYFUNCTION("IF(REGEXMATCH(A940, ""^00-""), 0, IF(AND(EQ(F940, """"), EQ(G940, """")), 1, 0))"),0.0)</f>
        <v>0</v>
      </c>
      <c r="O940" s="6">
        <f>IFERROR(__xludf.DUMMYFUNCTION("IF(REGEXMATCH(A940, ""^00-""), 0, IF(AND(NE(F940, """"), EQ(G940, """")), 1, 0))"),0.0)</f>
        <v>0</v>
      </c>
      <c r="P940" s="6">
        <f>IFERROR(__xludf.DUMMYFUNCTION("IF(REGEXMATCH(A940, ""^00-""), 0, IF(AND(EQ(F940, """"), NE(G940, """")), 1, 0))"),0.0)</f>
        <v>0</v>
      </c>
      <c r="Q940" s="6">
        <f>IFERROR(__xludf.DUMMYFUNCTION("IF(REGEXMATCH(A940, ""^00-""), 0, IF(AND(NE(F940, """"), NE(G940, """")), 1, 0))"),1.0)</f>
        <v>1</v>
      </c>
      <c r="R940" s="6">
        <f t="shared" si="1"/>
        <v>1</v>
      </c>
    </row>
    <row r="941">
      <c r="A941" s="1" t="s">
        <v>129</v>
      </c>
      <c r="B941" s="1" t="s">
        <v>2529</v>
      </c>
      <c r="C941" s="1">
        <v>430.0</v>
      </c>
      <c r="D941" s="1">
        <v>37.0</v>
      </c>
      <c r="E941" s="1">
        <v>467.0</v>
      </c>
      <c r="F941" s="1" t="s">
        <v>2530</v>
      </c>
      <c r="G941" s="1" t="s">
        <v>2530</v>
      </c>
      <c r="H941" s="1" t="s">
        <v>190</v>
      </c>
      <c r="I941" s="1" t="s">
        <v>2275</v>
      </c>
      <c r="J941" s="1" t="s">
        <v>2431</v>
      </c>
      <c r="K941" s="1" t="s">
        <v>2277</v>
      </c>
      <c r="L941" s="1"/>
      <c r="M941" s="1" t="s">
        <v>191</v>
      </c>
      <c r="N941" s="6">
        <f>IFERROR(__xludf.DUMMYFUNCTION("IF(REGEXMATCH(A941, ""^00-""), 0, IF(AND(EQ(F941, """"), EQ(G941, """")), 1, 0))"),0.0)</f>
        <v>0</v>
      </c>
      <c r="O941" s="6">
        <f>IFERROR(__xludf.DUMMYFUNCTION("IF(REGEXMATCH(A941, ""^00-""), 0, IF(AND(NE(F941, """"), EQ(G941, """")), 1, 0))"),0.0)</f>
        <v>0</v>
      </c>
      <c r="P941" s="6">
        <f>IFERROR(__xludf.DUMMYFUNCTION("IF(REGEXMATCH(A941, ""^00-""), 0, IF(AND(EQ(F941, """"), NE(G941, """")), 1, 0))"),0.0)</f>
        <v>0</v>
      </c>
      <c r="Q941" s="6">
        <f>IFERROR(__xludf.DUMMYFUNCTION("IF(REGEXMATCH(A941, ""^00-""), 0, IF(AND(NE(F941, """"), NE(G941, """")), 1, 0))"),1.0)</f>
        <v>1</v>
      </c>
      <c r="R941" s="6">
        <f t="shared" si="1"/>
        <v>1</v>
      </c>
    </row>
    <row r="942">
      <c r="A942" s="1" t="s">
        <v>129</v>
      </c>
      <c r="B942" s="1" t="s">
        <v>2531</v>
      </c>
      <c r="C942" s="1">
        <v>430.0</v>
      </c>
      <c r="D942" s="1">
        <v>37.0</v>
      </c>
      <c r="E942" s="1">
        <v>467.0</v>
      </c>
      <c r="F942" s="1" t="s">
        <v>2532</v>
      </c>
      <c r="G942" s="1" t="s">
        <v>2532</v>
      </c>
      <c r="H942" s="1" t="s">
        <v>190</v>
      </c>
      <c r="I942" s="1" t="s">
        <v>2275</v>
      </c>
      <c r="J942" s="1" t="s">
        <v>2431</v>
      </c>
      <c r="K942" s="1" t="s">
        <v>2277</v>
      </c>
      <c r="L942" s="1"/>
      <c r="M942" s="1" t="s">
        <v>191</v>
      </c>
      <c r="N942" s="6">
        <f>IFERROR(__xludf.DUMMYFUNCTION("IF(REGEXMATCH(A942, ""^00-""), 0, IF(AND(EQ(F942, """"), EQ(G942, """")), 1, 0))"),0.0)</f>
        <v>0</v>
      </c>
      <c r="O942" s="6">
        <f>IFERROR(__xludf.DUMMYFUNCTION("IF(REGEXMATCH(A942, ""^00-""), 0, IF(AND(NE(F942, """"), EQ(G942, """")), 1, 0))"),0.0)</f>
        <v>0</v>
      </c>
      <c r="P942" s="6">
        <f>IFERROR(__xludf.DUMMYFUNCTION("IF(REGEXMATCH(A942, ""^00-""), 0, IF(AND(EQ(F942, """"), NE(G942, """")), 1, 0))"),0.0)</f>
        <v>0</v>
      </c>
      <c r="Q942" s="6">
        <f>IFERROR(__xludf.DUMMYFUNCTION("IF(REGEXMATCH(A942, ""^00-""), 0, IF(AND(NE(F942, """"), NE(G942, """")), 1, 0))"),1.0)</f>
        <v>1</v>
      </c>
      <c r="R942" s="6">
        <f t="shared" si="1"/>
        <v>1</v>
      </c>
    </row>
    <row r="943">
      <c r="A943" s="1" t="s">
        <v>129</v>
      </c>
      <c r="B943" s="1" t="s">
        <v>2533</v>
      </c>
      <c r="C943" s="1">
        <v>430.0</v>
      </c>
      <c r="D943" s="1">
        <v>37.0</v>
      </c>
      <c r="E943" s="1">
        <v>467.0</v>
      </c>
      <c r="F943" s="1" t="s">
        <v>2534</v>
      </c>
      <c r="G943" s="1" t="s">
        <v>2534</v>
      </c>
      <c r="H943" s="1" t="s">
        <v>190</v>
      </c>
      <c r="I943" s="1" t="s">
        <v>2275</v>
      </c>
      <c r="J943" s="1" t="s">
        <v>2431</v>
      </c>
      <c r="K943" s="1" t="s">
        <v>2277</v>
      </c>
      <c r="L943" s="1"/>
      <c r="M943" s="1" t="s">
        <v>191</v>
      </c>
      <c r="N943" s="6">
        <f>IFERROR(__xludf.DUMMYFUNCTION("IF(REGEXMATCH(A943, ""^00-""), 0, IF(AND(EQ(F943, """"), EQ(G943, """")), 1, 0))"),0.0)</f>
        <v>0</v>
      </c>
      <c r="O943" s="6">
        <f>IFERROR(__xludf.DUMMYFUNCTION("IF(REGEXMATCH(A943, ""^00-""), 0, IF(AND(NE(F943, """"), EQ(G943, """")), 1, 0))"),0.0)</f>
        <v>0</v>
      </c>
      <c r="P943" s="6">
        <f>IFERROR(__xludf.DUMMYFUNCTION("IF(REGEXMATCH(A943, ""^00-""), 0, IF(AND(EQ(F943, """"), NE(G943, """")), 1, 0))"),0.0)</f>
        <v>0</v>
      </c>
      <c r="Q943" s="6">
        <f>IFERROR(__xludf.DUMMYFUNCTION("IF(REGEXMATCH(A943, ""^00-""), 0, IF(AND(NE(F943, """"), NE(G943, """")), 1, 0))"),1.0)</f>
        <v>1</v>
      </c>
      <c r="R943" s="6">
        <f t="shared" si="1"/>
        <v>1</v>
      </c>
    </row>
    <row r="944">
      <c r="A944" s="1" t="s">
        <v>129</v>
      </c>
      <c r="B944" s="1" t="s">
        <v>2535</v>
      </c>
      <c r="C944" s="1">
        <v>430.0</v>
      </c>
      <c r="D944" s="1">
        <v>37.0</v>
      </c>
      <c r="E944" s="1">
        <v>467.0</v>
      </c>
      <c r="F944" s="1" t="s">
        <v>2536</v>
      </c>
      <c r="G944" s="1" t="s">
        <v>2536</v>
      </c>
      <c r="H944" s="1" t="s">
        <v>190</v>
      </c>
      <c r="I944" s="1" t="s">
        <v>2275</v>
      </c>
      <c r="J944" s="1" t="s">
        <v>2431</v>
      </c>
      <c r="K944" s="1" t="s">
        <v>2277</v>
      </c>
      <c r="L944" s="1"/>
      <c r="M944" s="1" t="s">
        <v>191</v>
      </c>
      <c r="N944" s="6">
        <f>IFERROR(__xludf.DUMMYFUNCTION("IF(REGEXMATCH(A944, ""^00-""), 0, IF(AND(EQ(F944, """"), EQ(G944, """")), 1, 0))"),0.0)</f>
        <v>0</v>
      </c>
      <c r="O944" s="6">
        <f>IFERROR(__xludf.DUMMYFUNCTION("IF(REGEXMATCH(A944, ""^00-""), 0, IF(AND(NE(F944, """"), EQ(G944, """")), 1, 0))"),0.0)</f>
        <v>0</v>
      </c>
      <c r="P944" s="6">
        <f>IFERROR(__xludf.DUMMYFUNCTION("IF(REGEXMATCH(A944, ""^00-""), 0, IF(AND(EQ(F944, """"), NE(G944, """")), 1, 0))"),0.0)</f>
        <v>0</v>
      </c>
      <c r="Q944" s="6">
        <f>IFERROR(__xludf.DUMMYFUNCTION("IF(REGEXMATCH(A944, ""^00-""), 0, IF(AND(NE(F944, """"), NE(G944, """")), 1, 0))"),1.0)</f>
        <v>1</v>
      </c>
      <c r="R944" s="6">
        <f t="shared" si="1"/>
        <v>1</v>
      </c>
    </row>
    <row r="945">
      <c r="A945" s="1" t="s">
        <v>129</v>
      </c>
      <c r="B945" s="1" t="s">
        <v>2537</v>
      </c>
      <c r="C945" s="1">
        <v>430.0</v>
      </c>
      <c r="D945" s="1">
        <v>37.0</v>
      </c>
      <c r="E945" s="1">
        <v>467.0</v>
      </c>
      <c r="F945" s="1" t="s">
        <v>2538</v>
      </c>
      <c r="G945" s="1" t="s">
        <v>2538</v>
      </c>
      <c r="H945" s="1" t="s">
        <v>190</v>
      </c>
      <c r="I945" s="1" t="s">
        <v>2275</v>
      </c>
      <c r="J945" s="1" t="s">
        <v>2431</v>
      </c>
      <c r="K945" s="1" t="s">
        <v>2277</v>
      </c>
      <c r="L945" s="1"/>
      <c r="M945" s="1" t="s">
        <v>191</v>
      </c>
      <c r="N945" s="6">
        <f>IFERROR(__xludf.DUMMYFUNCTION("IF(REGEXMATCH(A945, ""^00-""), 0, IF(AND(EQ(F945, """"), EQ(G945, """")), 1, 0))"),0.0)</f>
        <v>0</v>
      </c>
      <c r="O945" s="6">
        <f>IFERROR(__xludf.DUMMYFUNCTION("IF(REGEXMATCH(A945, ""^00-""), 0, IF(AND(NE(F945, """"), EQ(G945, """")), 1, 0))"),0.0)</f>
        <v>0</v>
      </c>
      <c r="P945" s="6">
        <f>IFERROR(__xludf.DUMMYFUNCTION("IF(REGEXMATCH(A945, ""^00-""), 0, IF(AND(EQ(F945, """"), NE(G945, """")), 1, 0))"),0.0)</f>
        <v>0</v>
      </c>
      <c r="Q945" s="6">
        <f>IFERROR(__xludf.DUMMYFUNCTION("IF(REGEXMATCH(A945, ""^00-""), 0, IF(AND(NE(F945, """"), NE(G945, """")), 1, 0))"),1.0)</f>
        <v>1</v>
      </c>
      <c r="R945" s="6">
        <f t="shared" si="1"/>
        <v>1</v>
      </c>
    </row>
    <row r="946">
      <c r="A946" s="1" t="s">
        <v>129</v>
      </c>
      <c r="B946" s="1" t="s">
        <v>2539</v>
      </c>
      <c r="C946" s="1">
        <v>430.0</v>
      </c>
      <c r="D946" s="1">
        <v>37.0</v>
      </c>
      <c r="E946" s="1">
        <v>467.0</v>
      </c>
      <c r="F946" s="1" t="s">
        <v>2540</v>
      </c>
      <c r="G946" s="1" t="s">
        <v>2540</v>
      </c>
      <c r="H946" s="1" t="s">
        <v>190</v>
      </c>
      <c r="I946" s="1" t="s">
        <v>2275</v>
      </c>
      <c r="J946" s="1" t="s">
        <v>2431</v>
      </c>
      <c r="K946" s="1" t="s">
        <v>2277</v>
      </c>
      <c r="L946" s="1"/>
      <c r="M946" s="1" t="s">
        <v>191</v>
      </c>
      <c r="N946" s="6">
        <f>IFERROR(__xludf.DUMMYFUNCTION("IF(REGEXMATCH(A946, ""^00-""), 0, IF(AND(EQ(F946, """"), EQ(G946, """")), 1, 0))"),0.0)</f>
        <v>0</v>
      </c>
      <c r="O946" s="6">
        <f>IFERROR(__xludf.DUMMYFUNCTION("IF(REGEXMATCH(A946, ""^00-""), 0, IF(AND(NE(F946, """"), EQ(G946, """")), 1, 0))"),0.0)</f>
        <v>0</v>
      </c>
      <c r="P946" s="6">
        <f>IFERROR(__xludf.DUMMYFUNCTION("IF(REGEXMATCH(A946, ""^00-""), 0, IF(AND(EQ(F946, """"), NE(G946, """")), 1, 0))"),0.0)</f>
        <v>0</v>
      </c>
      <c r="Q946" s="6">
        <f>IFERROR(__xludf.DUMMYFUNCTION("IF(REGEXMATCH(A946, ""^00-""), 0, IF(AND(NE(F946, """"), NE(G946, """")), 1, 0))"),1.0)</f>
        <v>1</v>
      </c>
      <c r="R946" s="6">
        <f t="shared" si="1"/>
        <v>1</v>
      </c>
    </row>
    <row r="947">
      <c r="A947" s="1" t="s">
        <v>129</v>
      </c>
      <c r="B947" s="1" t="s">
        <v>2541</v>
      </c>
      <c r="C947" s="1">
        <v>430.0</v>
      </c>
      <c r="D947" s="1">
        <v>37.0</v>
      </c>
      <c r="E947" s="1">
        <v>467.0</v>
      </c>
      <c r="F947" s="1" t="s">
        <v>2542</v>
      </c>
      <c r="G947" s="1" t="s">
        <v>2542</v>
      </c>
      <c r="H947" s="1" t="s">
        <v>190</v>
      </c>
      <c r="I947" s="1" t="s">
        <v>2275</v>
      </c>
      <c r="J947" s="1" t="s">
        <v>2431</v>
      </c>
      <c r="K947" s="1" t="s">
        <v>2277</v>
      </c>
      <c r="L947" s="1"/>
      <c r="M947" s="1" t="s">
        <v>191</v>
      </c>
      <c r="N947" s="6">
        <f>IFERROR(__xludf.DUMMYFUNCTION("IF(REGEXMATCH(A947, ""^00-""), 0, IF(AND(EQ(F947, """"), EQ(G947, """")), 1, 0))"),0.0)</f>
        <v>0</v>
      </c>
      <c r="O947" s="6">
        <f>IFERROR(__xludf.DUMMYFUNCTION("IF(REGEXMATCH(A947, ""^00-""), 0, IF(AND(NE(F947, """"), EQ(G947, """")), 1, 0))"),0.0)</f>
        <v>0</v>
      </c>
      <c r="P947" s="6">
        <f>IFERROR(__xludf.DUMMYFUNCTION("IF(REGEXMATCH(A947, ""^00-""), 0, IF(AND(EQ(F947, """"), NE(G947, """")), 1, 0))"),0.0)</f>
        <v>0</v>
      </c>
      <c r="Q947" s="6">
        <f>IFERROR(__xludf.DUMMYFUNCTION("IF(REGEXMATCH(A947, ""^00-""), 0, IF(AND(NE(F947, """"), NE(G947, """")), 1, 0))"),1.0)</f>
        <v>1</v>
      </c>
      <c r="R947" s="6">
        <f t="shared" si="1"/>
        <v>1</v>
      </c>
    </row>
    <row r="948">
      <c r="A948" s="1" t="s">
        <v>129</v>
      </c>
      <c r="B948" s="1" t="s">
        <v>2543</v>
      </c>
      <c r="C948" s="1">
        <v>195.0</v>
      </c>
      <c r="D948" s="1">
        <v>272.0</v>
      </c>
      <c r="E948" s="1">
        <v>467.0</v>
      </c>
      <c r="F948" s="1"/>
      <c r="G948" s="1" t="s">
        <v>2544</v>
      </c>
      <c r="H948" s="1" t="s">
        <v>190</v>
      </c>
      <c r="I948" s="1" t="s">
        <v>2275</v>
      </c>
      <c r="J948" s="1" t="s">
        <v>2431</v>
      </c>
      <c r="K948" s="1" t="s">
        <v>2277</v>
      </c>
      <c r="L948" s="1"/>
      <c r="M948" s="1" t="s">
        <v>191</v>
      </c>
      <c r="N948" s="6">
        <f>IFERROR(__xludf.DUMMYFUNCTION("IF(REGEXMATCH(A948, ""^00-""), 0, IF(AND(EQ(F948, """"), EQ(G948, """")), 1, 0))"),0.0)</f>
        <v>0</v>
      </c>
      <c r="O948" s="6">
        <f>IFERROR(__xludf.DUMMYFUNCTION("IF(REGEXMATCH(A948, ""^00-""), 0, IF(AND(NE(F948, """"), EQ(G948, """")), 1, 0))"),0.0)</f>
        <v>0</v>
      </c>
      <c r="P948" s="6">
        <f>IFERROR(__xludf.DUMMYFUNCTION("IF(REGEXMATCH(A948, ""^00-""), 0, IF(AND(EQ(F948, """"), NE(G948, """")), 1, 0))"),1.0)</f>
        <v>1</v>
      </c>
      <c r="Q948" s="6">
        <f>IFERROR(__xludf.DUMMYFUNCTION("IF(REGEXMATCH(A948, ""^00-""), 0, IF(AND(NE(F948, """"), NE(G948, """")), 1, 0))"),0.0)</f>
        <v>0</v>
      </c>
      <c r="R948" s="6">
        <f t="shared" si="1"/>
        <v>1</v>
      </c>
    </row>
    <row r="949">
      <c r="A949" s="1" t="s">
        <v>129</v>
      </c>
      <c r="B949" s="1" t="s">
        <v>2545</v>
      </c>
      <c r="C949" s="1">
        <v>430.0</v>
      </c>
      <c r="D949" s="1">
        <v>37.0</v>
      </c>
      <c r="E949" s="1">
        <v>467.0</v>
      </c>
      <c r="F949" s="1" t="s">
        <v>2546</v>
      </c>
      <c r="G949" s="1" t="s">
        <v>2546</v>
      </c>
      <c r="H949" s="1" t="s">
        <v>190</v>
      </c>
      <c r="I949" s="1" t="s">
        <v>2275</v>
      </c>
      <c r="J949" s="1" t="s">
        <v>2431</v>
      </c>
      <c r="K949" s="1" t="s">
        <v>2277</v>
      </c>
      <c r="L949" s="1"/>
      <c r="M949" s="1" t="s">
        <v>191</v>
      </c>
      <c r="N949" s="6">
        <f>IFERROR(__xludf.DUMMYFUNCTION("IF(REGEXMATCH(A949, ""^00-""), 0, IF(AND(EQ(F949, """"), EQ(G949, """")), 1, 0))"),0.0)</f>
        <v>0</v>
      </c>
      <c r="O949" s="6">
        <f>IFERROR(__xludf.DUMMYFUNCTION("IF(REGEXMATCH(A949, ""^00-""), 0, IF(AND(NE(F949, """"), EQ(G949, """")), 1, 0))"),0.0)</f>
        <v>0</v>
      </c>
      <c r="P949" s="6">
        <f>IFERROR(__xludf.DUMMYFUNCTION("IF(REGEXMATCH(A949, ""^00-""), 0, IF(AND(EQ(F949, """"), NE(G949, """")), 1, 0))"),0.0)</f>
        <v>0</v>
      </c>
      <c r="Q949" s="6">
        <f>IFERROR(__xludf.DUMMYFUNCTION("IF(REGEXMATCH(A949, ""^00-""), 0, IF(AND(NE(F949, """"), NE(G949, """")), 1, 0))"),1.0)</f>
        <v>1</v>
      </c>
      <c r="R949" s="6">
        <f t="shared" si="1"/>
        <v>1</v>
      </c>
    </row>
    <row r="950">
      <c r="A950" s="1" t="s">
        <v>129</v>
      </c>
      <c r="B950" s="1" t="s">
        <v>2547</v>
      </c>
      <c r="C950" s="1">
        <v>55.0</v>
      </c>
      <c r="D950" s="1">
        <v>412.0</v>
      </c>
      <c r="E950" s="1">
        <v>467.0</v>
      </c>
      <c r="F950" s="1" t="s">
        <v>2548</v>
      </c>
      <c r="G950" s="1" t="s">
        <v>2548</v>
      </c>
      <c r="H950" s="1" t="s">
        <v>190</v>
      </c>
      <c r="I950" s="1" t="s">
        <v>2275</v>
      </c>
      <c r="J950" s="1" t="s">
        <v>2431</v>
      </c>
      <c r="K950" s="1" t="s">
        <v>2277</v>
      </c>
      <c r="L950" s="1"/>
      <c r="M950" s="1" t="s">
        <v>191</v>
      </c>
      <c r="N950" s="6">
        <f>IFERROR(__xludf.DUMMYFUNCTION("IF(REGEXMATCH(A950, ""^00-""), 0, IF(AND(EQ(F950, """"), EQ(G950, """")), 1, 0))"),0.0)</f>
        <v>0</v>
      </c>
      <c r="O950" s="6">
        <f>IFERROR(__xludf.DUMMYFUNCTION("IF(REGEXMATCH(A950, ""^00-""), 0, IF(AND(NE(F950, """"), EQ(G950, """")), 1, 0))"),0.0)</f>
        <v>0</v>
      </c>
      <c r="P950" s="6">
        <f>IFERROR(__xludf.DUMMYFUNCTION("IF(REGEXMATCH(A950, ""^00-""), 0, IF(AND(EQ(F950, """"), NE(G950, """")), 1, 0))"),0.0)</f>
        <v>0</v>
      </c>
      <c r="Q950" s="6">
        <f>IFERROR(__xludf.DUMMYFUNCTION("IF(REGEXMATCH(A950, ""^00-""), 0, IF(AND(NE(F950, """"), NE(G950, """")), 1, 0))"),1.0)</f>
        <v>1</v>
      </c>
      <c r="R950" s="6">
        <f t="shared" si="1"/>
        <v>1</v>
      </c>
    </row>
    <row r="951">
      <c r="A951" s="1" t="s">
        <v>129</v>
      </c>
      <c r="B951" s="1" t="s">
        <v>2549</v>
      </c>
      <c r="C951" s="1">
        <v>55.0</v>
      </c>
      <c r="D951" s="1">
        <v>412.0</v>
      </c>
      <c r="E951" s="1">
        <v>467.0</v>
      </c>
      <c r="F951" s="1" t="s">
        <v>2550</v>
      </c>
      <c r="G951" s="1" t="s">
        <v>2550</v>
      </c>
      <c r="H951" s="1" t="s">
        <v>190</v>
      </c>
      <c r="I951" s="1" t="s">
        <v>2275</v>
      </c>
      <c r="J951" s="1" t="s">
        <v>2431</v>
      </c>
      <c r="K951" s="1" t="s">
        <v>2277</v>
      </c>
      <c r="L951" s="1"/>
      <c r="M951" s="1" t="s">
        <v>191</v>
      </c>
      <c r="N951" s="6">
        <f>IFERROR(__xludf.DUMMYFUNCTION("IF(REGEXMATCH(A951, ""^00-""), 0, IF(AND(EQ(F951, """"), EQ(G951, """")), 1, 0))"),0.0)</f>
        <v>0</v>
      </c>
      <c r="O951" s="6">
        <f>IFERROR(__xludf.DUMMYFUNCTION("IF(REGEXMATCH(A951, ""^00-""), 0, IF(AND(NE(F951, """"), EQ(G951, """")), 1, 0))"),0.0)</f>
        <v>0</v>
      </c>
      <c r="P951" s="6">
        <f>IFERROR(__xludf.DUMMYFUNCTION("IF(REGEXMATCH(A951, ""^00-""), 0, IF(AND(EQ(F951, """"), NE(G951, """")), 1, 0))"),0.0)</f>
        <v>0</v>
      </c>
      <c r="Q951" s="6">
        <f>IFERROR(__xludf.DUMMYFUNCTION("IF(REGEXMATCH(A951, ""^00-""), 0, IF(AND(NE(F951, """"), NE(G951, """")), 1, 0))"),1.0)</f>
        <v>1</v>
      </c>
      <c r="R951" s="6">
        <f t="shared" si="1"/>
        <v>1</v>
      </c>
    </row>
    <row r="952">
      <c r="A952" s="1" t="s">
        <v>129</v>
      </c>
      <c r="B952" s="1" t="s">
        <v>2551</v>
      </c>
      <c r="C952" s="1">
        <v>55.0</v>
      </c>
      <c r="D952" s="1">
        <v>412.0</v>
      </c>
      <c r="E952" s="1">
        <v>467.0</v>
      </c>
      <c r="F952" s="1" t="s">
        <v>2552</v>
      </c>
      <c r="G952" s="1" t="s">
        <v>2552</v>
      </c>
      <c r="H952" s="1" t="s">
        <v>190</v>
      </c>
      <c r="I952" s="1" t="s">
        <v>2275</v>
      </c>
      <c r="J952" s="1" t="s">
        <v>2431</v>
      </c>
      <c r="K952" s="1" t="s">
        <v>2277</v>
      </c>
      <c r="L952" s="1"/>
      <c r="M952" s="1" t="s">
        <v>191</v>
      </c>
      <c r="N952" s="6">
        <f>IFERROR(__xludf.DUMMYFUNCTION("IF(REGEXMATCH(A952, ""^00-""), 0, IF(AND(EQ(F952, """"), EQ(G952, """")), 1, 0))"),0.0)</f>
        <v>0</v>
      </c>
      <c r="O952" s="6">
        <f>IFERROR(__xludf.DUMMYFUNCTION("IF(REGEXMATCH(A952, ""^00-""), 0, IF(AND(NE(F952, """"), EQ(G952, """")), 1, 0))"),0.0)</f>
        <v>0</v>
      </c>
      <c r="P952" s="6">
        <f>IFERROR(__xludf.DUMMYFUNCTION("IF(REGEXMATCH(A952, ""^00-""), 0, IF(AND(EQ(F952, """"), NE(G952, """")), 1, 0))"),0.0)</f>
        <v>0</v>
      </c>
      <c r="Q952" s="6">
        <f>IFERROR(__xludf.DUMMYFUNCTION("IF(REGEXMATCH(A952, ""^00-""), 0, IF(AND(NE(F952, """"), NE(G952, """")), 1, 0))"),1.0)</f>
        <v>1</v>
      </c>
      <c r="R952" s="6">
        <f t="shared" si="1"/>
        <v>1</v>
      </c>
    </row>
    <row r="953">
      <c r="A953" s="1" t="s">
        <v>129</v>
      </c>
      <c r="B953" s="1" t="s">
        <v>2553</v>
      </c>
      <c r="C953" s="1">
        <v>55.0</v>
      </c>
      <c r="D953" s="1">
        <v>412.0</v>
      </c>
      <c r="E953" s="1">
        <v>467.0</v>
      </c>
      <c r="F953" s="1" t="s">
        <v>2554</v>
      </c>
      <c r="G953" s="1" t="s">
        <v>2554</v>
      </c>
      <c r="H953" s="1" t="s">
        <v>190</v>
      </c>
      <c r="I953" s="1" t="s">
        <v>2275</v>
      </c>
      <c r="J953" s="1" t="s">
        <v>2431</v>
      </c>
      <c r="K953" s="1" t="s">
        <v>2277</v>
      </c>
      <c r="L953" s="1"/>
      <c r="M953" s="1" t="s">
        <v>191</v>
      </c>
      <c r="N953" s="6">
        <f>IFERROR(__xludf.DUMMYFUNCTION("IF(REGEXMATCH(A953, ""^00-""), 0, IF(AND(EQ(F953, """"), EQ(G953, """")), 1, 0))"),0.0)</f>
        <v>0</v>
      </c>
      <c r="O953" s="6">
        <f>IFERROR(__xludf.DUMMYFUNCTION("IF(REGEXMATCH(A953, ""^00-""), 0, IF(AND(NE(F953, """"), EQ(G953, """")), 1, 0))"),0.0)</f>
        <v>0</v>
      </c>
      <c r="P953" s="6">
        <f>IFERROR(__xludf.DUMMYFUNCTION("IF(REGEXMATCH(A953, ""^00-""), 0, IF(AND(EQ(F953, """"), NE(G953, """")), 1, 0))"),0.0)</f>
        <v>0</v>
      </c>
      <c r="Q953" s="6">
        <f>IFERROR(__xludf.DUMMYFUNCTION("IF(REGEXMATCH(A953, ""^00-""), 0, IF(AND(NE(F953, """"), NE(G953, """")), 1, 0))"),1.0)</f>
        <v>1</v>
      </c>
      <c r="R953" s="6">
        <f t="shared" si="1"/>
        <v>1</v>
      </c>
    </row>
    <row r="954">
      <c r="A954" s="1" t="s">
        <v>129</v>
      </c>
      <c r="B954" s="1" t="s">
        <v>2555</v>
      </c>
      <c r="C954" s="1">
        <v>55.0</v>
      </c>
      <c r="D954" s="1">
        <v>412.0</v>
      </c>
      <c r="E954" s="1">
        <v>467.0</v>
      </c>
      <c r="F954" s="1" t="s">
        <v>2556</v>
      </c>
      <c r="G954" s="1" t="s">
        <v>2556</v>
      </c>
      <c r="H954" s="1" t="s">
        <v>190</v>
      </c>
      <c r="I954" s="1" t="s">
        <v>2275</v>
      </c>
      <c r="J954" s="1" t="s">
        <v>2431</v>
      </c>
      <c r="K954" s="1" t="s">
        <v>2277</v>
      </c>
      <c r="L954" s="1"/>
      <c r="M954" s="1" t="s">
        <v>191</v>
      </c>
      <c r="N954" s="6">
        <f>IFERROR(__xludf.DUMMYFUNCTION("IF(REGEXMATCH(A954, ""^00-""), 0, IF(AND(EQ(F954, """"), EQ(G954, """")), 1, 0))"),0.0)</f>
        <v>0</v>
      </c>
      <c r="O954" s="6">
        <f>IFERROR(__xludf.DUMMYFUNCTION("IF(REGEXMATCH(A954, ""^00-""), 0, IF(AND(NE(F954, """"), EQ(G954, """")), 1, 0))"),0.0)</f>
        <v>0</v>
      </c>
      <c r="P954" s="6">
        <f>IFERROR(__xludf.DUMMYFUNCTION("IF(REGEXMATCH(A954, ""^00-""), 0, IF(AND(EQ(F954, """"), NE(G954, """")), 1, 0))"),0.0)</f>
        <v>0</v>
      </c>
      <c r="Q954" s="6">
        <f>IFERROR(__xludf.DUMMYFUNCTION("IF(REGEXMATCH(A954, ""^00-""), 0, IF(AND(NE(F954, """"), NE(G954, """")), 1, 0))"),1.0)</f>
        <v>1</v>
      </c>
      <c r="R954" s="6">
        <f t="shared" si="1"/>
        <v>1</v>
      </c>
    </row>
    <row r="955">
      <c r="A955" s="1" t="s">
        <v>131</v>
      </c>
      <c r="B955" s="1" t="s">
        <v>2557</v>
      </c>
      <c r="C955" s="1">
        <v>425.0</v>
      </c>
      <c r="D955" s="1">
        <v>42.0</v>
      </c>
      <c r="E955" s="1">
        <v>467.0</v>
      </c>
      <c r="F955" s="1" t="s">
        <v>2558</v>
      </c>
      <c r="G955" s="1" t="s">
        <v>2558</v>
      </c>
      <c r="H955" s="1" t="s">
        <v>182</v>
      </c>
      <c r="I955" s="1" t="s">
        <v>2275</v>
      </c>
      <c r="J955" s="1" t="s">
        <v>2559</v>
      </c>
      <c r="K955" s="1" t="s">
        <v>2277</v>
      </c>
      <c r="L955" s="1"/>
      <c r="M955" s="1" t="s">
        <v>257</v>
      </c>
      <c r="N955" s="6">
        <f>IFERROR(__xludf.DUMMYFUNCTION("IF(REGEXMATCH(A955, ""^00-""), 0, IF(AND(EQ(F955, """"), EQ(G955, """")), 1, 0))"),0.0)</f>
        <v>0</v>
      </c>
      <c r="O955" s="6">
        <f>IFERROR(__xludf.DUMMYFUNCTION("IF(REGEXMATCH(A955, ""^00-""), 0, IF(AND(NE(F955, """"), EQ(G955, """")), 1, 0))"),0.0)</f>
        <v>0</v>
      </c>
      <c r="P955" s="6">
        <f>IFERROR(__xludf.DUMMYFUNCTION("IF(REGEXMATCH(A955, ""^00-""), 0, IF(AND(EQ(F955, """"), NE(G955, """")), 1, 0))"),0.0)</f>
        <v>0</v>
      </c>
      <c r="Q955" s="6">
        <f>IFERROR(__xludf.DUMMYFUNCTION("IF(REGEXMATCH(A955, ""^00-""), 0, IF(AND(NE(F955, """"), NE(G955, """")), 1, 0))"),1.0)</f>
        <v>1</v>
      </c>
      <c r="R955" s="6">
        <f t="shared" si="1"/>
        <v>1</v>
      </c>
    </row>
    <row r="956">
      <c r="A956" s="1" t="s">
        <v>131</v>
      </c>
      <c r="B956" s="1" t="s">
        <v>2560</v>
      </c>
      <c r="C956" s="1">
        <v>421.0</v>
      </c>
      <c r="D956" s="1">
        <v>46.0</v>
      </c>
      <c r="E956" s="1">
        <v>467.0</v>
      </c>
      <c r="F956" s="1" t="s">
        <v>2561</v>
      </c>
      <c r="G956" s="1" t="s">
        <v>2561</v>
      </c>
      <c r="H956" s="1" t="s">
        <v>182</v>
      </c>
      <c r="I956" s="1" t="s">
        <v>2275</v>
      </c>
      <c r="J956" s="1" t="s">
        <v>2559</v>
      </c>
      <c r="K956" s="1" t="s">
        <v>2277</v>
      </c>
      <c r="L956" s="1"/>
      <c r="M956" s="1" t="s">
        <v>257</v>
      </c>
      <c r="N956" s="6">
        <f>IFERROR(__xludf.DUMMYFUNCTION("IF(REGEXMATCH(A956, ""^00-""), 0, IF(AND(EQ(F956, """"), EQ(G956, """")), 1, 0))"),0.0)</f>
        <v>0</v>
      </c>
      <c r="O956" s="6">
        <f>IFERROR(__xludf.DUMMYFUNCTION("IF(REGEXMATCH(A956, ""^00-""), 0, IF(AND(NE(F956, """"), EQ(G956, """")), 1, 0))"),0.0)</f>
        <v>0</v>
      </c>
      <c r="P956" s="6">
        <f>IFERROR(__xludf.DUMMYFUNCTION("IF(REGEXMATCH(A956, ""^00-""), 0, IF(AND(EQ(F956, """"), NE(G956, """")), 1, 0))"),0.0)</f>
        <v>0</v>
      </c>
      <c r="Q956" s="6">
        <f>IFERROR(__xludf.DUMMYFUNCTION("IF(REGEXMATCH(A956, ""^00-""), 0, IF(AND(NE(F956, """"), NE(G956, """")), 1, 0))"),1.0)</f>
        <v>1</v>
      </c>
      <c r="R956" s="6">
        <f t="shared" si="1"/>
        <v>1</v>
      </c>
    </row>
    <row r="957">
      <c r="A957" s="1" t="s">
        <v>131</v>
      </c>
      <c r="B957" s="1" t="s">
        <v>2562</v>
      </c>
      <c r="C957" s="1">
        <v>421.0</v>
      </c>
      <c r="D957" s="1">
        <v>46.0</v>
      </c>
      <c r="E957" s="1">
        <v>467.0</v>
      </c>
      <c r="F957" s="1" t="s">
        <v>2563</v>
      </c>
      <c r="G957" s="1" t="s">
        <v>2563</v>
      </c>
      <c r="H957" s="1" t="s">
        <v>182</v>
      </c>
      <c r="I957" s="1" t="s">
        <v>2275</v>
      </c>
      <c r="J957" s="1" t="s">
        <v>2559</v>
      </c>
      <c r="K957" s="1" t="s">
        <v>2277</v>
      </c>
      <c r="L957" s="1"/>
      <c r="M957" s="1" t="s">
        <v>257</v>
      </c>
      <c r="N957" s="6">
        <f>IFERROR(__xludf.DUMMYFUNCTION("IF(REGEXMATCH(A957, ""^00-""), 0, IF(AND(EQ(F957, """"), EQ(G957, """")), 1, 0))"),0.0)</f>
        <v>0</v>
      </c>
      <c r="O957" s="6">
        <f>IFERROR(__xludf.DUMMYFUNCTION("IF(REGEXMATCH(A957, ""^00-""), 0, IF(AND(NE(F957, """"), EQ(G957, """")), 1, 0))"),0.0)</f>
        <v>0</v>
      </c>
      <c r="P957" s="6">
        <f>IFERROR(__xludf.DUMMYFUNCTION("IF(REGEXMATCH(A957, ""^00-""), 0, IF(AND(EQ(F957, """"), NE(G957, """")), 1, 0))"),0.0)</f>
        <v>0</v>
      </c>
      <c r="Q957" s="6">
        <f>IFERROR(__xludf.DUMMYFUNCTION("IF(REGEXMATCH(A957, ""^00-""), 0, IF(AND(NE(F957, """"), NE(G957, """")), 1, 0))"),1.0)</f>
        <v>1</v>
      </c>
      <c r="R957" s="6">
        <f t="shared" si="1"/>
        <v>1</v>
      </c>
    </row>
    <row r="958">
      <c r="A958" s="1" t="s">
        <v>131</v>
      </c>
      <c r="B958" s="1" t="s">
        <v>2564</v>
      </c>
      <c r="C958" s="1">
        <v>424.0</v>
      </c>
      <c r="D958" s="1">
        <v>43.0</v>
      </c>
      <c r="E958" s="1">
        <v>467.0</v>
      </c>
      <c r="F958" s="1" t="s">
        <v>2565</v>
      </c>
      <c r="G958" s="1" t="s">
        <v>2565</v>
      </c>
      <c r="H958" s="1" t="s">
        <v>269</v>
      </c>
      <c r="I958" s="1" t="s">
        <v>2275</v>
      </c>
      <c r="J958" s="1" t="s">
        <v>2559</v>
      </c>
      <c r="K958" s="1" t="s">
        <v>2277</v>
      </c>
      <c r="L958" s="1"/>
      <c r="M958" s="1" t="s">
        <v>2566</v>
      </c>
      <c r="N958" s="6">
        <f>IFERROR(__xludf.DUMMYFUNCTION("IF(REGEXMATCH(A958, ""^00-""), 0, IF(AND(EQ(F958, """"), EQ(G958, """")), 1, 0))"),0.0)</f>
        <v>0</v>
      </c>
      <c r="O958" s="6">
        <f>IFERROR(__xludf.DUMMYFUNCTION("IF(REGEXMATCH(A958, ""^00-""), 0, IF(AND(NE(F958, """"), EQ(G958, """")), 1, 0))"),0.0)</f>
        <v>0</v>
      </c>
      <c r="P958" s="6">
        <f>IFERROR(__xludf.DUMMYFUNCTION("IF(REGEXMATCH(A958, ""^00-""), 0, IF(AND(EQ(F958, """"), NE(G958, """")), 1, 0))"),0.0)</f>
        <v>0</v>
      </c>
      <c r="Q958" s="6">
        <f>IFERROR(__xludf.DUMMYFUNCTION("IF(REGEXMATCH(A958, ""^00-""), 0, IF(AND(NE(F958, """"), NE(G958, """")), 1, 0))"),1.0)</f>
        <v>1</v>
      </c>
      <c r="R958" s="6">
        <f t="shared" si="1"/>
        <v>1</v>
      </c>
    </row>
    <row r="959">
      <c r="A959" s="1" t="s">
        <v>131</v>
      </c>
      <c r="B959" s="1" t="s">
        <v>2567</v>
      </c>
      <c r="C959" s="1">
        <v>425.0</v>
      </c>
      <c r="D959" s="1">
        <v>42.0</v>
      </c>
      <c r="E959" s="1">
        <v>467.0</v>
      </c>
      <c r="F959" s="1" t="s">
        <v>2568</v>
      </c>
      <c r="G959" s="1" t="s">
        <v>2568</v>
      </c>
      <c r="H959" s="1" t="s">
        <v>269</v>
      </c>
      <c r="I959" s="1" t="s">
        <v>2275</v>
      </c>
      <c r="J959" s="1" t="s">
        <v>2559</v>
      </c>
      <c r="K959" s="1" t="s">
        <v>2277</v>
      </c>
      <c r="L959" s="1"/>
      <c r="M959" s="1" t="s">
        <v>2566</v>
      </c>
      <c r="N959" s="6">
        <f>IFERROR(__xludf.DUMMYFUNCTION("IF(REGEXMATCH(A959, ""^00-""), 0, IF(AND(EQ(F959, """"), EQ(G959, """")), 1, 0))"),0.0)</f>
        <v>0</v>
      </c>
      <c r="O959" s="6">
        <f>IFERROR(__xludf.DUMMYFUNCTION("IF(REGEXMATCH(A959, ""^00-""), 0, IF(AND(NE(F959, """"), EQ(G959, """")), 1, 0))"),0.0)</f>
        <v>0</v>
      </c>
      <c r="P959" s="6">
        <f>IFERROR(__xludf.DUMMYFUNCTION("IF(REGEXMATCH(A959, ""^00-""), 0, IF(AND(EQ(F959, """"), NE(G959, """")), 1, 0))"),0.0)</f>
        <v>0</v>
      </c>
      <c r="Q959" s="6">
        <f>IFERROR(__xludf.DUMMYFUNCTION("IF(REGEXMATCH(A959, ""^00-""), 0, IF(AND(NE(F959, """"), NE(G959, """")), 1, 0))"),1.0)</f>
        <v>1</v>
      </c>
      <c r="R959" s="6">
        <f t="shared" si="1"/>
        <v>1</v>
      </c>
    </row>
    <row r="960">
      <c r="A960" s="1" t="s">
        <v>131</v>
      </c>
      <c r="B960" s="1" t="s">
        <v>2569</v>
      </c>
      <c r="C960" s="1">
        <v>425.0</v>
      </c>
      <c r="D960" s="1">
        <v>42.0</v>
      </c>
      <c r="E960" s="1">
        <v>467.0</v>
      </c>
      <c r="F960" s="1" t="s">
        <v>2570</v>
      </c>
      <c r="G960" s="1" t="s">
        <v>2570</v>
      </c>
      <c r="H960" s="1" t="s">
        <v>269</v>
      </c>
      <c r="I960" s="1" t="s">
        <v>2275</v>
      </c>
      <c r="J960" s="1" t="s">
        <v>2559</v>
      </c>
      <c r="K960" s="1" t="s">
        <v>2277</v>
      </c>
      <c r="L960" s="1"/>
      <c r="M960" s="1" t="s">
        <v>2566</v>
      </c>
      <c r="N960" s="6">
        <f>IFERROR(__xludf.DUMMYFUNCTION("IF(REGEXMATCH(A960, ""^00-""), 0, IF(AND(EQ(F960, """"), EQ(G960, """")), 1, 0))"),0.0)</f>
        <v>0</v>
      </c>
      <c r="O960" s="6">
        <f>IFERROR(__xludf.DUMMYFUNCTION("IF(REGEXMATCH(A960, ""^00-""), 0, IF(AND(NE(F960, """"), EQ(G960, """")), 1, 0))"),0.0)</f>
        <v>0</v>
      </c>
      <c r="P960" s="6">
        <f>IFERROR(__xludf.DUMMYFUNCTION("IF(REGEXMATCH(A960, ""^00-""), 0, IF(AND(EQ(F960, """"), NE(G960, """")), 1, 0))"),0.0)</f>
        <v>0</v>
      </c>
      <c r="Q960" s="6">
        <f>IFERROR(__xludf.DUMMYFUNCTION("IF(REGEXMATCH(A960, ""^00-""), 0, IF(AND(NE(F960, """"), NE(G960, """")), 1, 0))"),1.0)</f>
        <v>1</v>
      </c>
      <c r="R960" s="6">
        <f t="shared" si="1"/>
        <v>1</v>
      </c>
    </row>
    <row r="961">
      <c r="A961" s="1" t="s">
        <v>131</v>
      </c>
      <c r="B961" s="1" t="s">
        <v>2571</v>
      </c>
      <c r="C961" s="1">
        <v>425.0</v>
      </c>
      <c r="D961" s="1">
        <v>42.0</v>
      </c>
      <c r="E961" s="1">
        <v>467.0</v>
      </c>
      <c r="F961" s="1" t="s">
        <v>2572</v>
      </c>
      <c r="G961" s="1" t="s">
        <v>2572</v>
      </c>
      <c r="H961" s="1" t="s">
        <v>269</v>
      </c>
      <c r="I961" s="1" t="s">
        <v>2275</v>
      </c>
      <c r="J961" s="1" t="s">
        <v>2559</v>
      </c>
      <c r="K961" s="1" t="s">
        <v>2277</v>
      </c>
      <c r="L961" s="1"/>
      <c r="M961" s="1" t="s">
        <v>2566</v>
      </c>
      <c r="N961" s="6">
        <f>IFERROR(__xludf.DUMMYFUNCTION("IF(REGEXMATCH(A961, ""^00-""), 0, IF(AND(EQ(F961, """"), EQ(G961, """")), 1, 0))"),0.0)</f>
        <v>0</v>
      </c>
      <c r="O961" s="6">
        <f>IFERROR(__xludf.DUMMYFUNCTION("IF(REGEXMATCH(A961, ""^00-""), 0, IF(AND(NE(F961, """"), EQ(G961, """")), 1, 0))"),0.0)</f>
        <v>0</v>
      </c>
      <c r="P961" s="6">
        <f>IFERROR(__xludf.DUMMYFUNCTION("IF(REGEXMATCH(A961, ""^00-""), 0, IF(AND(EQ(F961, """"), NE(G961, """")), 1, 0))"),0.0)</f>
        <v>0</v>
      </c>
      <c r="Q961" s="6">
        <f>IFERROR(__xludf.DUMMYFUNCTION("IF(REGEXMATCH(A961, ""^00-""), 0, IF(AND(NE(F961, """"), NE(G961, """")), 1, 0))"),1.0)</f>
        <v>1</v>
      </c>
      <c r="R961" s="6">
        <f t="shared" si="1"/>
        <v>1</v>
      </c>
    </row>
    <row r="962">
      <c r="A962" s="1" t="s">
        <v>131</v>
      </c>
      <c r="B962" s="1" t="s">
        <v>2573</v>
      </c>
      <c r="C962" s="1">
        <v>425.0</v>
      </c>
      <c r="D962" s="1">
        <v>42.0</v>
      </c>
      <c r="E962" s="1">
        <v>467.0</v>
      </c>
      <c r="F962" s="1" t="s">
        <v>2574</v>
      </c>
      <c r="G962" s="1" t="s">
        <v>2574</v>
      </c>
      <c r="H962" s="1" t="s">
        <v>269</v>
      </c>
      <c r="I962" s="1" t="s">
        <v>2275</v>
      </c>
      <c r="J962" s="1" t="s">
        <v>2559</v>
      </c>
      <c r="K962" s="1" t="s">
        <v>2277</v>
      </c>
      <c r="L962" s="1"/>
      <c r="M962" s="1" t="s">
        <v>2566</v>
      </c>
      <c r="N962" s="6">
        <f>IFERROR(__xludf.DUMMYFUNCTION("IF(REGEXMATCH(A962, ""^00-""), 0, IF(AND(EQ(F962, """"), EQ(G962, """")), 1, 0))"),0.0)</f>
        <v>0</v>
      </c>
      <c r="O962" s="6">
        <f>IFERROR(__xludf.DUMMYFUNCTION("IF(REGEXMATCH(A962, ""^00-""), 0, IF(AND(NE(F962, """"), EQ(G962, """")), 1, 0))"),0.0)</f>
        <v>0</v>
      </c>
      <c r="P962" s="6">
        <f>IFERROR(__xludf.DUMMYFUNCTION("IF(REGEXMATCH(A962, ""^00-""), 0, IF(AND(EQ(F962, """"), NE(G962, """")), 1, 0))"),0.0)</f>
        <v>0</v>
      </c>
      <c r="Q962" s="6">
        <f>IFERROR(__xludf.DUMMYFUNCTION("IF(REGEXMATCH(A962, ""^00-""), 0, IF(AND(NE(F962, """"), NE(G962, """")), 1, 0))"),1.0)</f>
        <v>1</v>
      </c>
      <c r="R962" s="6">
        <f t="shared" si="1"/>
        <v>1</v>
      </c>
    </row>
    <row r="963">
      <c r="A963" s="1" t="s">
        <v>131</v>
      </c>
      <c r="B963" s="1" t="s">
        <v>2575</v>
      </c>
      <c r="C963" s="1">
        <v>425.0</v>
      </c>
      <c r="D963" s="1">
        <v>42.0</v>
      </c>
      <c r="E963" s="1">
        <v>467.0</v>
      </c>
      <c r="F963" s="1" t="s">
        <v>2576</v>
      </c>
      <c r="G963" s="1" t="s">
        <v>2576</v>
      </c>
      <c r="H963" s="1" t="s">
        <v>269</v>
      </c>
      <c r="I963" s="1" t="s">
        <v>2275</v>
      </c>
      <c r="J963" s="1" t="s">
        <v>2559</v>
      </c>
      <c r="K963" s="1" t="s">
        <v>2277</v>
      </c>
      <c r="L963" s="1"/>
      <c r="M963" s="1" t="s">
        <v>2566</v>
      </c>
      <c r="N963" s="6">
        <f>IFERROR(__xludf.DUMMYFUNCTION("IF(REGEXMATCH(A963, ""^00-""), 0, IF(AND(EQ(F963, """"), EQ(G963, """")), 1, 0))"),0.0)</f>
        <v>0</v>
      </c>
      <c r="O963" s="6">
        <f>IFERROR(__xludf.DUMMYFUNCTION("IF(REGEXMATCH(A963, ""^00-""), 0, IF(AND(NE(F963, """"), EQ(G963, """")), 1, 0))"),0.0)</f>
        <v>0</v>
      </c>
      <c r="P963" s="6">
        <f>IFERROR(__xludf.DUMMYFUNCTION("IF(REGEXMATCH(A963, ""^00-""), 0, IF(AND(EQ(F963, """"), NE(G963, """")), 1, 0))"),0.0)</f>
        <v>0</v>
      </c>
      <c r="Q963" s="6">
        <f>IFERROR(__xludf.DUMMYFUNCTION("IF(REGEXMATCH(A963, ""^00-""), 0, IF(AND(NE(F963, """"), NE(G963, """")), 1, 0))"),1.0)</f>
        <v>1</v>
      </c>
      <c r="R963" s="6">
        <f t="shared" si="1"/>
        <v>1</v>
      </c>
    </row>
    <row r="964">
      <c r="A964" s="1" t="s">
        <v>131</v>
      </c>
      <c r="B964" s="1" t="s">
        <v>2577</v>
      </c>
      <c r="C964" s="1">
        <v>425.0</v>
      </c>
      <c r="D964" s="1">
        <v>42.0</v>
      </c>
      <c r="E964" s="1">
        <v>467.0</v>
      </c>
      <c r="F964" s="1" t="s">
        <v>2578</v>
      </c>
      <c r="G964" s="1" t="s">
        <v>2578</v>
      </c>
      <c r="H964" s="1" t="s">
        <v>269</v>
      </c>
      <c r="I964" s="1" t="s">
        <v>2275</v>
      </c>
      <c r="J964" s="1" t="s">
        <v>2559</v>
      </c>
      <c r="K964" s="1" t="s">
        <v>2277</v>
      </c>
      <c r="L964" s="1"/>
      <c r="M964" s="1" t="s">
        <v>2566</v>
      </c>
      <c r="N964" s="6">
        <f>IFERROR(__xludf.DUMMYFUNCTION("IF(REGEXMATCH(A964, ""^00-""), 0, IF(AND(EQ(F964, """"), EQ(G964, """")), 1, 0))"),0.0)</f>
        <v>0</v>
      </c>
      <c r="O964" s="6">
        <f>IFERROR(__xludf.DUMMYFUNCTION("IF(REGEXMATCH(A964, ""^00-""), 0, IF(AND(NE(F964, """"), EQ(G964, """")), 1, 0))"),0.0)</f>
        <v>0</v>
      </c>
      <c r="P964" s="6">
        <f>IFERROR(__xludf.DUMMYFUNCTION("IF(REGEXMATCH(A964, ""^00-""), 0, IF(AND(EQ(F964, """"), NE(G964, """")), 1, 0))"),0.0)</f>
        <v>0</v>
      </c>
      <c r="Q964" s="6">
        <f>IFERROR(__xludf.DUMMYFUNCTION("IF(REGEXMATCH(A964, ""^00-""), 0, IF(AND(NE(F964, """"), NE(G964, """")), 1, 0))"),1.0)</f>
        <v>1</v>
      </c>
      <c r="R964" s="6">
        <f t="shared" si="1"/>
        <v>1</v>
      </c>
    </row>
    <row r="965">
      <c r="A965" s="1" t="s">
        <v>131</v>
      </c>
      <c r="B965" s="1" t="s">
        <v>2579</v>
      </c>
      <c r="C965" s="1">
        <v>425.0</v>
      </c>
      <c r="D965" s="1">
        <v>42.0</v>
      </c>
      <c r="E965" s="1">
        <v>467.0</v>
      </c>
      <c r="F965" s="1" t="s">
        <v>2580</v>
      </c>
      <c r="G965" s="1" t="s">
        <v>2580</v>
      </c>
      <c r="H965" s="1" t="s">
        <v>269</v>
      </c>
      <c r="I965" s="1" t="s">
        <v>2275</v>
      </c>
      <c r="J965" s="1" t="s">
        <v>2559</v>
      </c>
      <c r="K965" s="1" t="s">
        <v>2277</v>
      </c>
      <c r="L965" s="1"/>
      <c r="M965" s="1" t="s">
        <v>2566</v>
      </c>
      <c r="N965" s="6">
        <f>IFERROR(__xludf.DUMMYFUNCTION("IF(REGEXMATCH(A965, ""^00-""), 0, IF(AND(EQ(F965, """"), EQ(G965, """")), 1, 0))"),0.0)</f>
        <v>0</v>
      </c>
      <c r="O965" s="6">
        <f>IFERROR(__xludf.DUMMYFUNCTION("IF(REGEXMATCH(A965, ""^00-""), 0, IF(AND(NE(F965, """"), EQ(G965, """")), 1, 0))"),0.0)</f>
        <v>0</v>
      </c>
      <c r="P965" s="6">
        <f>IFERROR(__xludf.DUMMYFUNCTION("IF(REGEXMATCH(A965, ""^00-""), 0, IF(AND(EQ(F965, """"), NE(G965, """")), 1, 0))"),0.0)</f>
        <v>0</v>
      </c>
      <c r="Q965" s="6">
        <f>IFERROR(__xludf.DUMMYFUNCTION("IF(REGEXMATCH(A965, ""^00-""), 0, IF(AND(NE(F965, """"), NE(G965, """")), 1, 0))"),1.0)</f>
        <v>1</v>
      </c>
      <c r="R965" s="6">
        <f t="shared" si="1"/>
        <v>1</v>
      </c>
    </row>
    <row r="966">
      <c r="A966" s="1" t="s">
        <v>131</v>
      </c>
      <c r="B966" s="1" t="s">
        <v>2581</v>
      </c>
      <c r="C966" s="1">
        <v>426.0</v>
      </c>
      <c r="D966" s="1">
        <v>41.0</v>
      </c>
      <c r="E966" s="1">
        <v>467.0</v>
      </c>
      <c r="F966" s="1" t="s">
        <v>2582</v>
      </c>
      <c r="G966" s="1" t="s">
        <v>2582</v>
      </c>
      <c r="H966" s="1" t="s">
        <v>269</v>
      </c>
      <c r="I966" s="1" t="s">
        <v>2275</v>
      </c>
      <c r="J966" s="1" t="s">
        <v>2559</v>
      </c>
      <c r="K966" s="1" t="s">
        <v>2277</v>
      </c>
      <c r="L966" s="1"/>
      <c r="M966" s="1" t="s">
        <v>2583</v>
      </c>
      <c r="N966" s="6">
        <f>IFERROR(__xludf.DUMMYFUNCTION("IF(REGEXMATCH(A966, ""^00-""), 0, IF(AND(EQ(F966, """"), EQ(G966, """")), 1, 0))"),0.0)</f>
        <v>0</v>
      </c>
      <c r="O966" s="6">
        <f>IFERROR(__xludf.DUMMYFUNCTION("IF(REGEXMATCH(A966, ""^00-""), 0, IF(AND(NE(F966, """"), EQ(G966, """")), 1, 0))"),0.0)</f>
        <v>0</v>
      </c>
      <c r="P966" s="6">
        <f>IFERROR(__xludf.DUMMYFUNCTION("IF(REGEXMATCH(A966, ""^00-""), 0, IF(AND(EQ(F966, """"), NE(G966, """")), 1, 0))"),0.0)</f>
        <v>0</v>
      </c>
      <c r="Q966" s="6">
        <f>IFERROR(__xludf.DUMMYFUNCTION("IF(REGEXMATCH(A966, ""^00-""), 0, IF(AND(NE(F966, """"), NE(G966, """")), 1, 0))"),1.0)</f>
        <v>1</v>
      </c>
      <c r="R966" s="6">
        <f t="shared" si="1"/>
        <v>1</v>
      </c>
    </row>
    <row r="967">
      <c r="A967" s="1" t="s">
        <v>131</v>
      </c>
      <c r="B967" s="1" t="s">
        <v>2584</v>
      </c>
      <c r="C967" s="1">
        <v>426.0</v>
      </c>
      <c r="D967" s="1">
        <v>41.0</v>
      </c>
      <c r="E967" s="1">
        <v>467.0</v>
      </c>
      <c r="F967" s="1" t="s">
        <v>2585</v>
      </c>
      <c r="G967" s="1" t="s">
        <v>2585</v>
      </c>
      <c r="H967" s="1" t="s">
        <v>269</v>
      </c>
      <c r="I967" s="1" t="s">
        <v>2275</v>
      </c>
      <c r="J967" s="1" t="s">
        <v>2559</v>
      </c>
      <c r="K967" s="1" t="s">
        <v>2277</v>
      </c>
      <c r="L967" s="1"/>
      <c r="M967" s="1" t="s">
        <v>2583</v>
      </c>
      <c r="N967" s="6">
        <f>IFERROR(__xludf.DUMMYFUNCTION("IF(REGEXMATCH(A967, ""^00-""), 0, IF(AND(EQ(F967, """"), EQ(G967, """")), 1, 0))"),0.0)</f>
        <v>0</v>
      </c>
      <c r="O967" s="6">
        <f>IFERROR(__xludf.DUMMYFUNCTION("IF(REGEXMATCH(A967, ""^00-""), 0, IF(AND(NE(F967, """"), EQ(G967, """")), 1, 0))"),0.0)</f>
        <v>0</v>
      </c>
      <c r="P967" s="6">
        <f>IFERROR(__xludf.DUMMYFUNCTION("IF(REGEXMATCH(A967, ""^00-""), 0, IF(AND(EQ(F967, """"), NE(G967, """")), 1, 0))"),0.0)</f>
        <v>0</v>
      </c>
      <c r="Q967" s="6">
        <f>IFERROR(__xludf.DUMMYFUNCTION("IF(REGEXMATCH(A967, ""^00-""), 0, IF(AND(NE(F967, """"), NE(G967, """")), 1, 0))"),1.0)</f>
        <v>1</v>
      </c>
      <c r="R967" s="6">
        <f t="shared" si="1"/>
        <v>1</v>
      </c>
    </row>
    <row r="968">
      <c r="A968" s="1" t="s">
        <v>131</v>
      </c>
      <c r="B968" s="1" t="s">
        <v>2586</v>
      </c>
      <c r="C968" s="1">
        <v>426.0</v>
      </c>
      <c r="D968" s="1">
        <v>41.0</v>
      </c>
      <c r="E968" s="1">
        <v>467.0</v>
      </c>
      <c r="F968" s="1" t="s">
        <v>2587</v>
      </c>
      <c r="G968" s="1" t="s">
        <v>2587</v>
      </c>
      <c r="H968" s="1" t="s">
        <v>190</v>
      </c>
      <c r="I968" s="1" t="s">
        <v>2275</v>
      </c>
      <c r="J968" s="1" t="s">
        <v>2559</v>
      </c>
      <c r="K968" s="1" t="s">
        <v>2277</v>
      </c>
      <c r="L968" s="1"/>
      <c r="M968" s="1" t="s">
        <v>191</v>
      </c>
      <c r="N968" s="6">
        <f>IFERROR(__xludf.DUMMYFUNCTION("IF(REGEXMATCH(A968, ""^00-""), 0, IF(AND(EQ(F968, """"), EQ(G968, """")), 1, 0))"),0.0)</f>
        <v>0</v>
      </c>
      <c r="O968" s="6">
        <f>IFERROR(__xludf.DUMMYFUNCTION("IF(REGEXMATCH(A968, ""^00-""), 0, IF(AND(NE(F968, """"), EQ(G968, """")), 1, 0))"),0.0)</f>
        <v>0</v>
      </c>
      <c r="P968" s="6">
        <f>IFERROR(__xludf.DUMMYFUNCTION("IF(REGEXMATCH(A968, ""^00-""), 0, IF(AND(EQ(F968, """"), NE(G968, """")), 1, 0))"),0.0)</f>
        <v>0</v>
      </c>
      <c r="Q968" s="6">
        <f>IFERROR(__xludf.DUMMYFUNCTION("IF(REGEXMATCH(A968, ""^00-""), 0, IF(AND(NE(F968, """"), NE(G968, """")), 1, 0))"),1.0)</f>
        <v>1</v>
      </c>
      <c r="R968" s="6">
        <f t="shared" si="1"/>
        <v>1</v>
      </c>
    </row>
    <row r="969">
      <c r="A969" s="1" t="s">
        <v>131</v>
      </c>
      <c r="B969" s="1" t="s">
        <v>2588</v>
      </c>
      <c r="C969" s="1">
        <v>241.0</v>
      </c>
      <c r="D969" s="1">
        <v>226.0</v>
      </c>
      <c r="E969" s="1">
        <v>467.0</v>
      </c>
      <c r="F969" s="1" t="s">
        <v>2589</v>
      </c>
      <c r="G969" s="1" t="s">
        <v>2589</v>
      </c>
      <c r="H969" s="1" t="s">
        <v>190</v>
      </c>
      <c r="I969" s="1" t="s">
        <v>2275</v>
      </c>
      <c r="J969" s="1" t="s">
        <v>2559</v>
      </c>
      <c r="K969" s="1" t="s">
        <v>2277</v>
      </c>
      <c r="L969" s="1"/>
      <c r="M969" s="1" t="s">
        <v>191</v>
      </c>
      <c r="N969" s="6">
        <f>IFERROR(__xludf.DUMMYFUNCTION("IF(REGEXMATCH(A969, ""^00-""), 0, IF(AND(EQ(F969, """"), EQ(G969, """")), 1, 0))"),0.0)</f>
        <v>0</v>
      </c>
      <c r="O969" s="6">
        <f>IFERROR(__xludf.DUMMYFUNCTION("IF(REGEXMATCH(A969, ""^00-""), 0, IF(AND(NE(F969, """"), EQ(G969, """")), 1, 0))"),0.0)</f>
        <v>0</v>
      </c>
      <c r="P969" s="6">
        <f>IFERROR(__xludf.DUMMYFUNCTION("IF(REGEXMATCH(A969, ""^00-""), 0, IF(AND(EQ(F969, """"), NE(G969, """")), 1, 0))"),0.0)</f>
        <v>0</v>
      </c>
      <c r="Q969" s="6">
        <f>IFERROR(__xludf.DUMMYFUNCTION("IF(REGEXMATCH(A969, ""^00-""), 0, IF(AND(NE(F969, """"), NE(G969, """")), 1, 0))"),1.0)</f>
        <v>1</v>
      </c>
      <c r="R969" s="6">
        <f t="shared" si="1"/>
        <v>1</v>
      </c>
    </row>
    <row r="970">
      <c r="A970" s="1" t="s">
        <v>131</v>
      </c>
      <c r="B970" s="1" t="s">
        <v>2590</v>
      </c>
      <c r="C970" s="1">
        <v>126.0</v>
      </c>
      <c r="D970" s="1">
        <v>341.0</v>
      </c>
      <c r="E970" s="1">
        <v>467.0</v>
      </c>
      <c r="F970" s="1" t="s">
        <v>2591</v>
      </c>
      <c r="G970" s="1" t="s">
        <v>2591</v>
      </c>
      <c r="H970" s="1" t="s">
        <v>190</v>
      </c>
      <c r="I970" s="1" t="s">
        <v>2275</v>
      </c>
      <c r="J970" s="1" t="s">
        <v>2559</v>
      </c>
      <c r="K970" s="1" t="s">
        <v>2277</v>
      </c>
      <c r="L970" s="1"/>
      <c r="M970" s="1" t="s">
        <v>191</v>
      </c>
      <c r="N970" s="6">
        <f>IFERROR(__xludf.DUMMYFUNCTION("IF(REGEXMATCH(A970, ""^00-""), 0, IF(AND(EQ(F970, """"), EQ(G970, """")), 1, 0))"),0.0)</f>
        <v>0</v>
      </c>
      <c r="O970" s="6">
        <f>IFERROR(__xludf.DUMMYFUNCTION("IF(REGEXMATCH(A970, ""^00-""), 0, IF(AND(NE(F970, """"), EQ(G970, """")), 1, 0))"),0.0)</f>
        <v>0</v>
      </c>
      <c r="P970" s="6">
        <f>IFERROR(__xludf.DUMMYFUNCTION("IF(REGEXMATCH(A970, ""^00-""), 0, IF(AND(EQ(F970, """"), NE(G970, """")), 1, 0))"),0.0)</f>
        <v>0</v>
      </c>
      <c r="Q970" s="6">
        <f>IFERROR(__xludf.DUMMYFUNCTION("IF(REGEXMATCH(A970, ""^00-""), 0, IF(AND(NE(F970, """"), NE(G970, """")), 1, 0))"),1.0)</f>
        <v>1</v>
      </c>
      <c r="R970" s="6">
        <f t="shared" si="1"/>
        <v>1</v>
      </c>
    </row>
    <row r="971">
      <c r="A971" s="1" t="s">
        <v>131</v>
      </c>
      <c r="B971" s="1" t="s">
        <v>2592</v>
      </c>
      <c r="C971" s="1">
        <v>49.0</v>
      </c>
      <c r="D971" s="1">
        <v>418.0</v>
      </c>
      <c r="E971" s="1">
        <v>467.0</v>
      </c>
      <c r="F971" s="1" t="s">
        <v>2593</v>
      </c>
      <c r="G971" s="1" t="s">
        <v>2593</v>
      </c>
      <c r="H971" s="1" t="s">
        <v>269</v>
      </c>
      <c r="I971" s="1" t="s">
        <v>2275</v>
      </c>
      <c r="J971" s="1" t="s">
        <v>2559</v>
      </c>
      <c r="K971" s="1" t="s">
        <v>2277</v>
      </c>
      <c r="L971" s="1"/>
      <c r="M971" s="1" t="s">
        <v>2594</v>
      </c>
      <c r="N971" s="6">
        <f>IFERROR(__xludf.DUMMYFUNCTION("IF(REGEXMATCH(A971, ""^00-""), 0, IF(AND(EQ(F971, """"), EQ(G971, """")), 1, 0))"),0.0)</f>
        <v>0</v>
      </c>
      <c r="O971" s="6">
        <f>IFERROR(__xludf.DUMMYFUNCTION("IF(REGEXMATCH(A971, ""^00-""), 0, IF(AND(NE(F971, """"), EQ(G971, """")), 1, 0))"),0.0)</f>
        <v>0</v>
      </c>
      <c r="P971" s="6">
        <f>IFERROR(__xludf.DUMMYFUNCTION("IF(REGEXMATCH(A971, ""^00-""), 0, IF(AND(EQ(F971, """"), NE(G971, """")), 1, 0))"),0.0)</f>
        <v>0</v>
      </c>
      <c r="Q971" s="6">
        <f>IFERROR(__xludf.DUMMYFUNCTION("IF(REGEXMATCH(A971, ""^00-""), 0, IF(AND(NE(F971, """"), NE(G971, """")), 1, 0))"),1.0)</f>
        <v>1</v>
      </c>
      <c r="R971" s="6">
        <f t="shared" si="1"/>
        <v>1</v>
      </c>
    </row>
    <row r="972">
      <c r="A972" s="1" t="s">
        <v>131</v>
      </c>
      <c r="B972" s="1" t="s">
        <v>2595</v>
      </c>
      <c r="C972" s="1">
        <v>49.0</v>
      </c>
      <c r="D972" s="1">
        <v>418.0</v>
      </c>
      <c r="E972" s="1">
        <v>467.0</v>
      </c>
      <c r="F972" s="1" t="s">
        <v>2596</v>
      </c>
      <c r="G972" s="1" t="s">
        <v>2596</v>
      </c>
      <c r="H972" s="1" t="s">
        <v>269</v>
      </c>
      <c r="I972" s="1" t="s">
        <v>2275</v>
      </c>
      <c r="J972" s="1" t="s">
        <v>2559</v>
      </c>
      <c r="K972" s="1" t="s">
        <v>2277</v>
      </c>
      <c r="L972" s="1"/>
      <c r="M972" s="1" t="s">
        <v>2594</v>
      </c>
      <c r="N972" s="6">
        <f>IFERROR(__xludf.DUMMYFUNCTION("IF(REGEXMATCH(A972, ""^00-""), 0, IF(AND(EQ(F972, """"), EQ(G972, """")), 1, 0))"),0.0)</f>
        <v>0</v>
      </c>
      <c r="O972" s="6">
        <f>IFERROR(__xludf.DUMMYFUNCTION("IF(REGEXMATCH(A972, ""^00-""), 0, IF(AND(NE(F972, """"), EQ(G972, """")), 1, 0))"),0.0)</f>
        <v>0</v>
      </c>
      <c r="P972" s="6">
        <f>IFERROR(__xludf.DUMMYFUNCTION("IF(REGEXMATCH(A972, ""^00-""), 0, IF(AND(EQ(F972, """"), NE(G972, """")), 1, 0))"),0.0)</f>
        <v>0</v>
      </c>
      <c r="Q972" s="6">
        <f>IFERROR(__xludf.DUMMYFUNCTION("IF(REGEXMATCH(A972, ""^00-""), 0, IF(AND(NE(F972, """"), NE(G972, """")), 1, 0))"),1.0)</f>
        <v>1</v>
      </c>
      <c r="R972" s="6">
        <f t="shared" si="1"/>
        <v>1</v>
      </c>
    </row>
    <row r="973">
      <c r="A973" s="1" t="s">
        <v>131</v>
      </c>
      <c r="B973" s="1" t="s">
        <v>2597</v>
      </c>
      <c r="C973" s="1">
        <v>38.0</v>
      </c>
      <c r="D973" s="1">
        <v>429.0</v>
      </c>
      <c r="E973" s="1">
        <v>467.0</v>
      </c>
      <c r="F973" s="1" t="s">
        <v>2598</v>
      </c>
      <c r="G973" s="1" t="s">
        <v>2598</v>
      </c>
      <c r="H973" s="1" t="s">
        <v>269</v>
      </c>
      <c r="I973" s="1" t="s">
        <v>2275</v>
      </c>
      <c r="J973" s="1" t="s">
        <v>2559</v>
      </c>
      <c r="K973" s="1" t="s">
        <v>2277</v>
      </c>
      <c r="L973" s="1"/>
      <c r="M973" s="1" t="s">
        <v>2594</v>
      </c>
      <c r="N973" s="6">
        <f>IFERROR(__xludf.DUMMYFUNCTION("IF(REGEXMATCH(A973, ""^00-""), 0, IF(AND(EQ(F973, """"), EQ(G973, """")), 1, 0))"),0.0)</f>
        <v>0</v>
      </c>
      <c r="O973" s="6">
        <f>IFERROR(__xludf.DUMMYFUNCTION("IF(REGEXMATCH(A973, ""^00-""), 0, IF(AND(NE(F973, """"), EQ(G973, """")), 1, 0))"),0.0)</f>
        <v>0</v>
      </c>
      <c r="P973" s="6">
        <f>IFERROR(__xludf.DUMMYFUNCTION("IF(REGEXMATCH(A973, ""^00-""), 0, IF(AND(EQ(F973, """"), NE(G973, """")), 1, 0))"),0.0)</f>
        <v>0</v>
      </c>
      <c r="Q973" s="6">
        <f>IFERROR(__xludf.DUMMYFUNCTION("IF(REGEXMATCH(A973, ""^00-""), 0, IF(AND(NE(F973, """"), NE(G973, """")), 1, 0))"),1.0)</f>
        <v>1</v>
      </c>
      <c r="R973" s="6">
        <f t="shared" si="1"/>
        <v>1</v>
      </c>
    </row>
    <row r="974">
      <c r="A974" s="1" t="s">
        <v>131</v>
      </c>
      <c r="B974" s="1" t="s">
        <v>2599</v>
      </c>
      <c r="C974" s="1">
        <v>126.0</v>
      </c>
      <c r="D974" s="1">
        <v>341.0</v>
      </c>
      <c r="E974" s="1">
        <v>467.0</v>
      </c>
      <c r="F974" s="1" t="s">
        <v>2600</v>
      </c>
      <c r="G974" s="1" t="s">
        <v>2600</v>
      </c>
      <c r="H974" s="1" t="s">
        <v>190</v>
      </c>
      <c r="I974" s="1" t="s">
        <v>2275</v>
      </c>
      <c r="J974" s="1" t="s">
        <v>2559</v>
      </c>
      <c r="K974" s="1" t="s">
        <v>2277</v>
      </c>
      <c r="L974" s="1"/>
      <c r="M974" s="1" t="s">
        <v>191</v>
      </c>
      <c r="N974" s="6">
        <f>IFERROR(__xludf.DUMMYFUNCTION("IF(REGEXMATCH(A974, ""^00-""), 0, IF(AND(EQ(F974, """"), EQ(G974, """")), 1, 0))"),0.0)</f>
        <v>0</v>
      </c>
      <c r="O974" s="6">
        <f>IFERROR(__xludf.DUMMYFUNCTION("IF(REGEXMATCH(A974, ""^00-""), 0, IF(AND(NE(F974, """"), EQ(G974, """")), 1, 0))"),0.0)</f>
        <v>0</v>
      </c>
      <c r="P974" s="6">
        <f>IFERROR(__xludf.DUMMYFUNCTION("IF(REGEXMATCH(A974, ""^00-""), 0, IF(AND(EQ(F974, """"), NE(G974, """")), 1, 0))"),0.0)</f>
        <v>0</v>
      </c>
      <c r="Q974" s="6">
        <f>IFERROR(__xludf.DUMMYFUNCTION("IF(REGEXMATCH(A974, ""^00-""), 0, IF(AND(NE(F974, """"), NE(G974, """")), 1, 0))"),1.0)</f>
        <v>1</v>
      </c>
      <c r="R974" s="6">
        <f t="shared" si="1"/>
        <v>1</v>
      </c>
    </row>
    <row r="975">
      <c r="A975" s="1" t="s">
        <v>131</v>
      </c>
      <c r="B975" s="1" t="s">
        <v>2601</v>
      </c>
      <c r="C975" s="1">
        <v>41.0</v>
      </c>
      <c r="D975" s="1">
        <v>426.0</v>
      </c>
      <c r="E975" s="1">
        <v>467.0</v>
      </c>
      <c r="F975" s="1" t="s">
        <v>2602</v>
      </c>
      <c r="G975" s="1" t="s">
        <v>2602</v>
      </c>
      <c r="H975" s="1" t="s">
        <v>269</v>
      </c>
      <c r="I975" s="1" t="s">
        <v>2275</v>
      </c>
      <c r="J975" s="1" t="s">
        <v>2559</v>
      </c>
      <c r="K975" s="1" t="s">
        <v>2277</v>
      </c>
      <c r="L975" s="1"/>
      <c r="M975" s="1" t="s">
        <v>2594</v>
      </c>
      <c r="N975" s="6">
        <f>IFERROR(__xludf.DUMMYFUNCTION("IF(REGEXMATCH(A975, ""^00-""), 0, IF(AND(EQ(F975, """"), EQ(G975, """")), 1, 0))"),0.0)</f>
        <v>0</v>
      </c>
      <c r="O975" s="6">
        <f>IFERROR(__xludf.DUMMYFUNCTION("IF(REGEXMATCH(A975, ""^00-""), 0, IF(AND(NE(F975, """"), EQ(G975, """")), 1, 0))"),0.0)</f>
        <v>0</v>
      </c>
      <c r="P975" s="6">
        <f>IFERROR(__xludf.DUMMYFUNCTION("IF(REGEXMATCH(A975, ""^00-""), 0, IF(AND(EQ(F975, """"), NE(G975, """")), 1, 0))"),0.0)</f>
        <v>0</v>
      </c>
      <c r="Q975" s="6">
        <f>IFERROR(__xludf.DUMMYFUNCTION("IF(REGEXMATCH(A975, ""^00-""), 0, IF(AND(NE(F975, """"), NE(G975, """")), 1, 0))"),1.0)</f>
        <v>1</v>
      </c>
      <c r="R975" s="6">
        <f t="shared" si="1"/>
        <v>1</v>
      </c>
    </row>
    <row r="976">
      <c r="A976" s="1" t="s">
        <v>131</v>
      </c>
      <c r="B976" s="1" t="s">
        <v>2603</v>
      </c>
      <c r="C976" s="1">
        <v>41.0</v>
      </c>
      <c r="D976" s="1">
        <v>426.0</v>
      </c>
      <c r="E976" s="1">
        <v>467.0</v>
      </c>
      <c r="F976" s="1" t="s">
        <v>2604</v>
      </c>
      <c r="G976" s="1" t="s">
        <v>2604</v>
      </c>
      <c r="H976" s="1" t="s">
        <v>269</v>
      </c>
      <c r="I976" s="1" t="s">
        <v>2275</v>
      </c>
      <c r="J976" s="1" t="s">
        <v>2559</v>
      </c>
      <c r="K976" s="1" t="s">
        <v>2277</v>
      </c>
      <c r="L976" s="1"/>
      <c r="M976" s="1" t="s">
        <v>2594</v>
      </c>
      <c r="N976" s="6">
        <f>IFERROR(__xludf.DUMMYFUNCTION("IF(REGEXMATCH(A976, ""^00-""), 0, IF(AND(EQ(F976, """"), EQ(G976, """")), 1, 0))"),0.0)</f>
        <v>0</v>
      </c>
      <c r="O976" s="6">
        <f>IFERROR(__xludf.DUMMYFUNCTION("IF(REGEXMATCH(A976, ""^00-""), 0, IF(AND(NE(F976, """"), EQ(G976, """")), 1, 0))"),0.0)</f>
        <v>0</v>
      </c>
      <c r="P976" s="6">
        <f>IFERROR(__xludf.DUMMYFUNCTION("IF(REGEXMATCH(A976, ""^00-""), 0, IF(AND(EQ(F976, """"), NE(G976, """")), 1, 0))"),0.0)</f>
        <v>0</v>
      </c>
      <c r="Q976" s="6">
        <f>IFERROR(__xludf.DUMMYFUNCTION("IF(REGEXMATCH(A976, ""^00-""), 0, IF(AND(NE(F976, """"), NE(G976, """")), 1, 0))"),1.0)</f>
        <v>1</v>
      </c>
      <c r="R976" s="6">
        <f t="shared" si="1"/>
        <v>1</v>
      </c>
    </row>
    <row r="977">
      <c r="A977" s="1" t="s">
        <v>131</v>
      </c>
      <c r="B977" s="1" t="s">
        <v>2605</v>
      </c>
      <c r="C977" s="1">
        <v>184.0</v>
      </c>
      <c r="D977" s="1">
        <v>283.0</v>
      </c>
      <c r="E977" s="1">
        <v>467.0</v>
      </c>
      <c r="F977" s="1" t="s">
        <v>2606</v>
      </c>
      <c r="G977" s="1" t="s">
        <v>2606</v>
      </c>
      <c r="H977" s="1" t="s">
        <v>190</v>
      </c>
      <c r="I977" s="1" t="s">
        <v>2275</v>
      </c>
      <c r="J977" s="1" t="s">
        <v>2559</v>
      </c>
      <c r="K977" s="1" t="s">
        <v>2277</v>
      </c>
      <c r="L977" s="1"/>
      <c r="M977" s="1" t="s">
        <v>191</v>
      </c>
      <c r="N977" s="6">
        <f>IFERROR(__xludf.DUMMYFUNCTION("IF(REGEXMATCH(A977, ""^00-""), 0, IF(AND(EQ(F977, """"), EQ(G977, """")), 1, 0))"),0.0)</f>
        <v>0</v>
      </c>
      <c r="O977" s="6">
        <f>IFERROR(__xludf.DUMMYFUNCTION("IF(REGEXMATCH(A977, ""^00-""), 0, IF(AND(NE(F977, """"), EQ(G977, """")), 1, 0))"),0.0)</f>
        <v>0</v>
      </c>
      <c r="P977" s="6">
        <f>IFERROR(__xludf.DUMMYFUNCTION("IF(REGEXMATCH(A977, ""^00-""), 0, IF(AND(EQ(F977, """"), NE(G977, """")), 1, 0))"),0.0)</f>
        <v>0</v>
      </c>
      <c r="Q977" s="6">
        <f>IFERROR(__xludf.DUMMYFUNCTION("IF(REGEXMATCH(A977, ""^00-""), 0, IF(AND(NE(F977, """"), NE(G977, """")), 1, 0))"),1.0)</f>
        <v>1</v>
      </c>
      <c r="R977" s="6">
        <f t="shared" si="1"/>
        <v>1</v>
      </c>
    </row>
    <row r="978">
      <c r="A978" s="1" t="s">
        <v>131</v>
      </c>
      <c r="B978" s="1" t="s">
        <v>2607</v>
      </c>
      <c r="C978" s="1">
        <v>58.0</v>
      </c>
      <c r="D978" s="1">
        <v>409.0</v>
      </c>
      <c r="E978" s="1">
        <v>467.0</v>
      </c>
      <c r="F978" s="1" t="s">
        <v>2608</v>
      </c>
      <c r="G978" s="1" t="s">
        <v>2608</v>
      </c>
      <c r="H978" s="1" t="s">
        <v>269</v>
      </c>
      <c r="I978" s="1" t="s">
        <v>2275</v>
      </c>
      <c r="J978" s="1" t="s">
        <v>2559</v>
      </c>
      <c r="K978" s="1" t="s">
        <v>2277</v>
      </c>
      <c r="L978" s="1"/>
      <c r="M978" s="1" t="s">
        <v>2594</v>
      </c>
      <c r="N978" s="6">
        <f>IFERROR(__xludf.DUMMYFUNCTION("IF(REGEXMATCH(A978, ""^00-""), 0, IF(AND(EQ(F978, """"), EQ(G978, """")), 1, 0))"),0.0)</f>
        <v>0</v>
      </c>
      <c r="O978" s="6">
        <f>IFERROR(__xludf.DUMMYFUNCTION("IF(REGEXMATCH(A978, ""^00-""), 0, IF(AND(NE(F978, """"), EQ(G978, """")), 1, 0))"),0.0)</f>
        <v>0</v>
      </c>
      <c r="P978" s="6">
        <f>IFERROR(__xludf.DUMMYFUNCTION("IF(REGEXMATCH(A978, ""^00-""), 0, IF(AND(EQ(F978, """"), NE(G978, """")), 1, 0))"),0.0)</f>
        <v>0</v>
      </c>
      <c r="Q978" s="6">
        <f>IFERROR(__xludf.DUMMYFUNCTION("IF(REGEXMATCH(A978, ""^00-""), 0, IF(AND(NE(F978, """"), NE(G978, """")), 1, 0))"),1.0)</f>
        <v>1</v>
      </c>
      <c r="R978" s="6">
        <f t="shared" si="1"/>
        <v>1</v>
      </c>
    </row>
    <row r="979">
      <c r="A979" s="1" t="s">
        <v>131</v>
      </c>
      <c r="B979" s="1" t="s">
        <v>2609</v>
      </c>
      <c r="C979" s="1">
        <v>58.0</v>
      </c>
      <c r="D979" s="1">
        <v>409.0</v>
      </c>
      <c r="E979" s="1">
        <v>467.0</v>
      </c>
      <c r="F979" s="1" t="s">
        <v>2610</v>
      </c>
      <c r="G979" s="1" t="s">
        <v>2610</v>
      </c>
      <c r="H979" s="1" t="s">
        <v>269</v>
      </c>
      <c r="I979" s="1" t="s">
        <v>2275</v>
      </c>
      <c r="J979" s="1" t="s">
        <v>2559</v>
      </c>
      <c r="K979" s="1" t="s">
        <v>2277</v>
      </c>
      <c r="L979" s="1"/>
      <c r="M979" s="1" t="s">
        <v>2594</v>
      </c>
      <c r="N979" s="6">
        <f>IFERROR(__xludf.DUMMYFUNCTION("IF(REGEXMATCH(A979, ""^00-""), 0, IF(AND(EQ(F979, """"), EQ(G979, """")), 1, 0))"),0.0)</f>
        <v>0</v>
      </c>
      <c r="O979" s="6">
        <f>IFERROR(__xludf.DUMMYFUNCTION("IF(REGEXMATCH(A979, ""^00-""), 0, IF(AND(NE(F979, """"), EQ(G979, """")), 1, 0))"),0.0)</f>
        <v>0</v>
      </c>
      <c r="P979" s="6">
        <f>IFERROR(__xludf.DUMMYFUNCTION("IF(REGEXMATCH(A979, ""^00-""), 0, IF(AND(EQ(F979, """"), NE(G979, """")), 1, 0))"),0.0)</f>
        <v>0</v>
      </c>
      <c r="Q979" s="6">
        <f>IFERROR(__xludf.DUMMYFUNCTION("IF(REGEXMATCH(A979, ""^00-""), 0, IF(AND(NE(F979, """"), NE(G979, """")), 1, 0))"),1.0)</f>
        <v>1</v>
      </c>
      <c r="R979" s="6">
        <f t="shared" si="1"/>
        <v>1</v>
      </c>
    </row>
    <row r="980">
      <c r="A980" s="1" t="s">
        <v>131</v>
      </c>
      <c r="B980" s="1" t="s">
        <v>2611</v>
      </c>
      <c r="C980" s="1">
        <v>426.0</v>
      </c>
      <c r="D980" s="1">
        <v>41.0</v>
      </c>
      <c r="E980" s="1">
        <v>467.0</v>
      </c>
      <c r="F980" s="1" t="s">
        <v>2612</v>
      </c>
      <c r="G980" s="1" t="s">
        <v>2612</v>
      </c>
      <c r="H980" s="1" t="s">
        <v>269</v>
      </c>
      <c r="I980" s="1" t="s">
        <v>2275</v>
      </c>
      <c r="J980" s="1" t="s">
        <v>2559</v>
      </c>
      <c r="K980" s="1" t="s">
        <v>2277</v>
      </c>
      <c r="L980" s="1"/>
      <c r="M980" s="1" t="s">
        <v>2611</v>
      </c>
      <c r="N980" s="6">
        <f>IFERROR(__xludf.DUMMYFUNCTION("IF(REGEXMATCH(A980, ""^00-""), 0, IF(AND(EQ(F980, """"), EQ(G980, """")), 1, 0))"),0.0)</f>
        <v>0</v>
      </c>
      <c r="O980" s="6">
        <f>IFERROR(__xludf.DUMMYFUNCTION("IF(REGEXMATCH(A980, ""^00-""), 0, IF(AND(NE(F980, """"), EQ(G980, """")), 1, 0))"),0.0)</f>
        <v>0</v>
      </c>
      <c r="P980" s="6">
        <f>IFERROR(__xludf.DUMMYFUNCTION("IF(REGEXMATCH(A980, ""^00-""), 0, IF(AND(EQ(F980, """"), NE(G980, """")), 1, 0))"),0.0)</f>
        <v>0</v>
      </c>
      <c r="Q980" s="6">
        <f>IFERROR(__xludf.DUMMYFUNCTION("IF(REGEXMATCH(A980, ""^00-""), 0, IF(AND(NE(F980, """"), NE(G980, """")), 1, 0))"),1.0)</f>
        <v>1</v>
      </c>
      <c r="R980" s="6">
        <f t="shared" si="1"/>
        <v>1</v>
      </c>
    </row>
    <row r="981">
      <c r="A981" s="1" t="s">
        <v>131</v>
      </c>
      <c r="B981" s="1" t="s">
        <v>2613</v>
      </c>
      <c r="C981" s="1">
        <v>426.0</v>
      </c>
      <c r="D981" s="1">
        <v>41.0</v>
      </c>
      <c r="E981" s="1">
        <v>467.0</v>
      </c>
      <c r="F981" s="1" t="s">
        <v>2614</v>
      </c>
      <c r="G981" s="1" t="s">
        <v>2614</v>
      </c>
      <c r="H981" s="1" t="s">
        <v>269</v>
      </c>
      <c r="I981" s="1" t="s">
        <v>2275</v>
      </c>
      <c r="J981" s="1" t="s">
        <v>2559</v>
      </c>
      <c r="K981" s="1" t="s">
        <v>2277</v>
      </c>
      <c r="L981" s="1"/>
      <c r="M981" s="1" t="s">
        <v>2615</v>
      </c>
      <c r="N981" s="6">
        <f>IFERROR(__xludf.DUMMYFUNCTION("IF(REGEXMATCH(A981, ""^00-""), 0, IF(AND(EQ(F981, """"), EQ(G981, """")), 1, 0))"),0.0)</f>
        <v>0</v>
      </c>
      <c r="O981" s="6">
        <f>IFERROR(__xludf.DUMMYFUNCTION("IF(REGEXMATCH(A981, ""^00-""), 0, IF(AND(NE(F981, """"), EQ(G981, """")), 1, 0))"),0.0)</f>
        <v>0</v>
      </c>
      <c r="P981" s="6">
        <f>IFERROR(__xludf.DUMMYFUNCTION("IF(REGEXMATCH(A981, ""^00-""), 0, IF(AND(EQ(F981, """"), NE(G981, """")), 1, 0))"),0.0)</f>
        <v>0</v>
      </c>
      <c r="Q981" s="6">
        <f>IFERROR(__xludf.DUMMYFUNCTION("IF(REGEXMATCH(A981, ""^00-""), 0, IF(AND(NE(F981, """"), NE(G981, """")), 1, 0))"),1.0)</f>
        <v>1</v>
      </c>
      <c r="R981" s="6">
        <f t="shared" si="1"/>
        <v>1</v>
      </c>
    </row>
    <row r="982">
      <c r="A982" s="1" t="s">
        <v>131</v>
      </c>
      <c r="B982" s="1" t="s">
        <v>2616</v>
      </c>
      <c r="C982" s="1">
        <v>285.0</v>
      </c>
      <c r="D982" s="1">
        <v>182.0</v>
      </c>
      <c r="E982" s="1">
        <v>467.0</v>
      </c>
      <c r="F982" s="1"/>
      <c r="G982" s="1" t="s">
        <v>2617</v>
      </c>
      <c r="H982" s="1" t="s">
        <v>269</v>
      </c>
      <c r="I982" s="1" t="s">
        <v>2275</v>
      </c>
      <c r="J982" s="1" t="s">
        <v>2559</v>
      </c>
      <c r="K982" s="1" t="s">
        <v>2277</v>
      </c>
      <c r="L982" s="1"/>
      <c r="M982" s="1" t="s">
        <v>2615</v>
      </c>
      <c r="N982" s="6">
        <f>IFERROR(__xludf.DUMMYFUNCTION("IF(REGEXMATCH(A982, ""^00-""), 0, IF(AND(EQ(F982, """"), EQ(G982, """")), 1, 0))"),0.0)</f>
        <v>0</v>
      </c>
      <c r="O982" s="6">
        <f>IFERROR(__xludf.DUMMYFUNCTION("IF(REGEXMATCH(A982, ""^00-""), 0, IF(AND(NE(F982, """"), EQ(G982, """")), 1, 0))"),0.0)</f>
        <v>0</v>
      </c>
      <c r="P982" s="6">
        <f>IFERROR(__xludf.DUMMYFUNCTION("IF(REGEXMATCH(A982, ""^00-""), 0, IF(AND(EQ(F982, """"), NE(G982, """")), 1, 0))"),1.0)</f>
        <v>1</v>
      </c>
      <c r="Q982" s="6">
        <f>IFERROR(__xludf.DUMMYFUNCTION("IF(REGEXMATCH(A982, ""^00-""), 0, IF(AND(NE(F982, """"), NE(G982, """")), 1, 0))"),0.0)</f>
        <v>0</v>
      </c>
      <c r="R982" s="6">
        <f t="shared" si="1"/>
        <v>1</v>
      </c>
    </row>
    <row r="983">
      <c r="A983" s="1" t="s">
        <v>131</v>
      </c>
      <c r="B983" s="1" t="s">
        <v>2618</v>
      </c>
      <c r="C983" s="1">
        <v>426.0</v>
      </c>
      <c r="D983" s="1">
        <v>41.0</v>
      </c>
      <c r="E983" s="1">
        <v>467.0</v>
      </c>
      <c r="F983" s="1" t="s">
        <v>2619</v>
      </c>
      <c r="G983" s="1" t="s">
        <v>2619</v>
      </c>
      <c r="H983" s="1" t="s">
        <v>269</v>
      </c>
      <c r="I983" s="1" t="s">
        <v>2275</v>
      </c>
      <c r="J983" s="1" t="s">
        <v>2559</v>
      </c>
      <c r="K983" s="1" t="s">
        <v>2277</v>
      </c>
      <c r="L983" s="1"/>
      <c r="M983" s="1" t="s">
        <v>2620</v>
      </c>
      <c r="N983" s="6">
        <f>IFERROR(__xludf.DUMMYFUNCTION("IF(REGEXMATCH(A983, ""^00-""), 0, IF(AND(EQ(F983, """"), EQ(G983, """")), 1, 0))"),0.0)</f>
        <v>0</v>
      </c>
      <c r="O983" s="6">
        <f>IFERROR(__xludf.DUMMYFUNCTION("IF(REGEXMATCH(A983, ""^00-""), 0, IF(AND(NE(F983, """"), EQ(G983, """")), 1, 0))"),0.0)</f>
        <v>0</v>
      </c>
      <c r="P983" s="6">
        <f>IFERROR(__xludf.DUMMYFUNCTION("IF(REGEXMATCH(A983, ""^00-""), 0, IF(AND(EQ(F983, """"), NE(G983, """")), 1, 0))"),0.0)</f>
        <v>0</v>
      </c>
      <c r="Q983" s="6">
        <f>IFERROR(__xludf.DUMMYFUNCTION("IF(REGEXMATCH(A983, ""^00-""), 0, IF(AND(NE(F983, """"), NE(G983, """")), 1, 0))"),1.0)</f>
        <v>1</v>
      </c>
      <c r="R983" s="6">
        <f t="shared" si="1"/>
        <v>1</v>
      </c>
    </row>
    <row r="984">
      <c r="A984" s="1" t="s">
        <v>131</v>
      </c>
      <c r="B984" s="1" t="s">
        <v>2621</v>
      </c>
      <c r="C984" s="1">
        <v>426.0</v>
      </c>
      <c r="D984" s="1">
        <v>41.0</v>
      </c>
      <c r="E984" s="1">
        <v>467.0</v>
      </c>
      <c r="F984" s="1" t="s">
        <v>2622</v>
      </c>
      <c r="G984" s="1" t="s">
        <v>2622</v>
      </c>
      <c r="H984" s="1" t="s">
        <v>190</v>
      </c>
      <c r="I984" s="1" t="s">
        <v>2275</v>
      </c>
      <c r="J984" s="1" t="s">
        <v>2559</v>
      </c>
      <c r="K984" s="1" t="s">
        <v>2277</v>
      </c>
      <c r="L984" s="1"/>
      <c r="M984" s="1" t="s">
        <v>191</v>
      </c>
      <c r="N984" s="6">
        <f>IFERROR(__xludf.DUMMYFUNCTION("IF(REGEXMATCH(A984, ""^00-""), 0, IF(AND(EQ(F984, """"), EQ(G984, """")), 1, 0))"),0.0)</f>
        <v>0</v>
      </c>
      <c r="O984" s="6">
        <f>IFERROR(__xludf.DUMMYFUNCTION("IF(REGEXMATCH(A984, ""^00-""), 0, IF(AND(NE(F984, """"), EQ(G984, """")), 1, 0))"),0.0)</f>
        <v>0</v>
      </c>
      <c r="P984" s="6">
        <f>IFERROR(__xludf.DUMMYFUNCTION("IF(REGEXMATCH(A984, ""^00-""), 0, IF(AND(EQ(F984, """"), NE(G984, """")), 1, 0))"),0.0)</f>
        <v>0</v>
      </c>
      <c r="Q984" s="6">
        <f>IFERROR(__xludf.DUMMYFUNCTION("IF(REGEXMATCH(A984, ""^00-""), 0, IF(AND(NE(F984, """"), NE(G984, """")), 1, 0))"),1.0)</f>
        <v>1</v>
      </c>
      <c r="R984" s="6">
        <f t="shared" si="1"/>
        <v>1</v>
      </c>
    </row>
    <row r="985">
      <c r="A985" s="1" t="s">
        <v>131</v>
      </c>
      <c r="B985" s="1" t="s">
        <v>2623</v>
      </c>
      <c r="C985" s="1">
        <v>426.0</v>
      </c>
      <c r="D985" s="1">
        <v>41.0</v>
      </c>
      <c r="E985" s="1">
        <v>467.0</v>
      </c>
      <c r="F985" s="1" t="s">
        <v>2624</v>
      </c>
      <c r="G985" s="1" t="s">
        <v>2624</v>
      </c>
      <c r="H985" s="1" t="s">
        <v>190</v>
      </c>
      <c r="I985" s="1" t="s">
        <v>2275</v>
      </c>
      <c r="J985" s="1" t="s">
        <v>2559</v>
      </c>
      <c r="K985" s="1" t="s">
        <v>2277</v>
      </c>
      <c r="L985" s="1"/>
      <c r="M985" s="1" t="s">
        <v>191</v>
      </c>
      <c r="N985" s="6">
        <f>IFERROR(__xludf.DUMMYFUNCTION("IF(REGEXMATCH(A985, ""^00-""), 0, IF(AND(EQ(F985, """"), EQ(G985, """")), 1, 0))"),0.0)</f>
        <v>0</v>
      </c>
      <c r="O985" s="6">
        <f>IFERROR(__xludf.DUMMYFUNCTION("IF(REGEXMATCH(A985, ""^00-""), 0, IF(AND(NE(F985, """"), EQ(G985, """")), 1, 0))"),0.0)</f>
        <v>0</v>
      </c>
      <c r="P985" s="6">
        <f>IFERROR(__xludf.DUMMYFUNCTION("IF(REGEXMATCH(A985, ""^00-""), 0, IF(AND(EQ(F985, """"), NE(G985, """")), 1, 0))"),0.0)</f>
        <v>0</v>
      </c>
      <c r="Q985" s="6">
        <f>IFERROR(__xludf.DUMMYFUNCTION("IF(REGEXMATCH(A985, ""^00-""), 0, IF(AND(NE(F985, """"), NE(G985, """")), 1, 0))"),1.0)</f>
        <v>1</v>
      </c>
      <c r="R985" s="6">
        <f t="shared" si="1"/>
        <v>1</v>
      </c>
    </row>
    <row r="986">
      <c r="A986" s="1" t="s">
        <v>131</v>
      </c>
      <c r="B986" s="1" t="s">
        <v>2625</v>
      </c>
      <c r="C986" s="1">
        <v>425.0</v>
      </c>
      <c r="D986" s="1">
        <v>42.0</v>
      </c>
      <c r="E986" s="1">
        <v>467.0</v>
      </c>
      <c r="F986" s="1" t="s">
        <v>2626</v>
      </c>
      <c r="G986" s="1" t="s">
        <v>2626</v>
      </c>
      <c r="H986" s="1" t="s">
        <v>190</v>
      </c>
      <c r="I986" s="1" t="s">
        <v>2275</v>
      </c>
      <c r="J986" s="1" t="s">
        <v>2559</v>
      </c>
      <c r="K986" s="1" t="s">
        <v>2277</v>
      </c>
      <c r="L986" s="1"/>
      <c r="M986" s="1" t="s">
        <v>191</v>
      </c>
      <c r="N986" s="6">
        <f>IFERROR(__xludf.DUMMYFUNCTION("IF(REGEXMATCH(A986, ""^00-""), 0, IF(AND(EQ(F986, """"), EQ(G986, """")), 1, 0))"),0.0)</f>
        <v>0</v>
      </c>
      <c r="O986" s="6">
        <f>IFERROR(__xludf.DUMMYFUNCTION("IF(REGEXMATCH(A986, ""^00-""), 0, IF(AND(NE(F986, """"), EQ(G986, """")), 1, 0))"),0.0)</f>
        <v>0</v>
      </c>
      <c r="P986" s="6">
        <f>IFERROR(__xludf.DUMMYFUNCTION("IF(REGEXMATCH(A986, ""^00-""), 0, IF(AND(EQ(F986, """"), NE(G986, """")), 1, 0))"),0.0)</f>
        <v>0</v>
      </c>
      <c r="Q986" s="6">
        <f>IFERROR(__xludf.DUMMYFUNCTION("IF(REGEXMATCH(A986, ""^00-""), 0, IF(AND(NE(F986, """"), NE(G986, """")), 1, 0))"),1.0)</f>
        <v>1</v>
      </c>
      <c r="R986" s="6">
        <f t="shared" si="1"/>
        <v>1</v>
      </c>
    </row>
    <row r="987">
      <c r="A987" s="1" t="s">
        <v>131</v>
      </c>
      <c r="B987" s="1" t="s">
        <v>2627</v>
      </c>
      <c r="C987" s="1">
        <v>426.0</v>
      </c>
      <c r="D987" s="1">
        <v>41.0</v>
      </c>
      <c r="E987" s="1">
        <v>467.0</v>
      </c>
      <c r="F987" s="1" t="s">
        <v>2628</v>
      </c>
      <c r="G987" s="1" t="s">
        <v>2628</v>
      </c>
      <c r="H987" s="1" t="s">
        <v>190</v>
      </c>
      <c r="I987" s="1" t="s">
        <v>2275</v>
      </c>
      <c r="J987" s="1" t="s">
        <v>2559</v>
      </c>
      <c r="K987" s="1" t="s">
        <v>2277</v>
      </c>
      <c r="L987" s="1"/>
      <c r="M987" s="1" t="s">
        <v>191</v>
      </c>
      <c r="N987" s="6">
        <f>IFERROR(__xludf.DUMMYFUNCTION("IF(REGEXMATCH(A987, ""^00-""), 0, IF(AND(EQ(F987, """"), EQ(G987, """")), 1, 0))"),0.0)</f>
        <v>0</v>
      </c>
      <c r="O987" s="6">
        <f>IFERROR(__xludf.DUMMYFUNCTION("IF(REGEXMATCH(A987, ""^00-""), 0, IF(AND(NE(F987, """"), EQ(G987, """")), 1, 0))"),0.0)</f>
        <v>0</v>
      </c>
      <c r="P987" s="6">
        <f>IFERROR(__xludf.DUMMYFUNCTION("IF(REGEXMATCH(A987, ""^00-""), 0, IF(AND(EQ(F987, """"), NE(G987, """")), 1, 0))"),0.0)</f>
        <v>0</v>
      </c>
      <c r="Q987" s="6">
        <f>IFERROR(__xludf.DUMMYFUNCTION("IF(REGEXMATCH(A987, ""^00-""), 0, IF(AND(NE(F987, """"), NE(G987, """")), 1, 0))"),1.0)</f>
        <v>1</v>
      </c>
      <c r="R987" s="6">
        <f t="shared" si="1"/>
        <v>1</v>
      </c>
    </row>
    <row r="988">
      <c r="A988" s="1" t="s">
        <v>131</v>
      </c>
      <c r="B988" s="1" t="s">
        <v>2629</v>
      </c>
      <c r="C988" s="1">
        <v>426.0</v>
      </c>
      <c r="D988" s="1">
        <v>41.0</v>
      </c>
      <c r="E988" s="1">
        <v>467.0</v>
      </c>
      <c r="F988" s="1" t="s">
        <v>2630</v>
      </c>
      <c r="G988" s="1" t="s">
        <v>2630</v>
      </c>
      <c r="H988" s="1" t="s">
        <v>190</v>
      </c>
      <c r="I988" s="1" t="s">
        <v>2275</v>
      </c>
      <c r="J988" s="1" t="s">
        <v>2559</v>
      </c>
      <c r="K988" s="1" t="s">
        <v>2277</v>
      </c>
      <c r="L988" s="1"/>
      <c r="M988" s="1" t="s">
        <v>191</v>
      </c>
      <c r="N988" s="6">
        <f>IFERROR(__xludf.DUMMYFUNCTION("IF(REGEXMATCH(A988, ""^00-""), 0, IF(AND(EQ(F988, """"), EQ(G988, """")), 1, 0))"),0.0)</f>
        <v>0</v>
      </c>
      <c r="O988" s="6">
        <f>IFERROR(__xludf.DUMMYFUNCTION("IF(REGEXMATCH(A988, ""^00-""), 0, IF(AND(NE(F988, """"), EQ(G988, """")), 1, 0))"),0.0)</f>
        <v>0</v>
      </c>
      <c r="P988" s="6">
        <f>IFERROR(__xludf.DUMMYFUNCTION("IF(REGEXMATCH(A988, ""^00-""), 0, IF(AND(EQ(F988, """"), NE(G988, """")), 1, 0))"),0.0)</f>
        <v>0</v>
      </c>
      <c r="Q988" s="6">
        <f>IFERROR(__xludf.DUMMYFUNCTION("IF(REGEXMATCH(A988, ""^00-""), 0, IF(AND(NE(F988, """"), NE(G988, """")), 1, 0))"),1.0)</f>
        <v>1</v>
      </c>
      <c r="R988" s="6">
        <f t="shared" si="1"/>
        <v>1</v>
      </c>
    </row>
    <row r="989">
      <c r="A989" s="1" t="s">
        <v>131</v>
      </c>
      <c r="B989" s="1" t="s">
        <v>2631</v>
      </c>
      <c r="C989" s="1">
        <v>426.0</v>
      </c>
      <c r="D989" s="1">
        <v>41.0</v>
      </c>
      <c r="E989" s="1">
        <v>467.0</v>
      </c>
      <c r="F989" s="1" t="s">
        <v>2632</v>
      </c>
      <c r="G989" s="1" t="s">
        <v>2632</v>
      </c>
      <c r="H989" s="1" t="s">
        <v>190</v>
      </c>
      <c r="I989" s="1" t="s">
        <v>2275</v>
      </c>
      <c r="J989" s="1" t="s">
        <v>2559</v>
      </c>
      <c r="K989" s="1" t="s">
        <v>2277</v>
      </c>
      <c r="L989" s="1"/>
      <c r="M989" s="1" t="s">
        <v>191</v>
      </c>
      <c r="N989" s="6">
        <f>IFERROR(__xludf.DUMMYFUNCTION("IF(REGEXMATCH(A989, ""^00-""), 0, IF(AND(EQ(F989, """"), EQ(G989, """")), 1, 0))"),0.0)</f>
        <v>0</v>
      </c>
      <c r="O989" s="6">
        <f>IFERROR(__xludf.DUMMYFUNCTION("IF(REGEXMATCH(A989, ""^00-""), 0, IF(AND(NE(F989, """"), EQ(G989, """")), 1, 0))"),0.0)</f>
        <v>0</v>
      </c>
      <c r="P989" s="6">
        <f>IFERROR(__xludf.DUMMYFUNCTION("IF(REGEXMATCH(A989, ""^00-""), 0, IF(AND(EQ(F989, """"), NE(G989, """")), 1, 0))"),0.0)</f>
        <v>0</v>
      </c>
      <c r="Q989" s="6">
        <f>IFERROR(__xludf.DUMMYFUNCTION("IF(REGEXMATCH(A989, ""^00-""), 0, IF(AND(NE(F989, """"), NE(G989, """")), 1, 0))"),1.0)</f>
        <v>1</v>
      </c>
      <c r="R989" s="6">
        <f t="shared" si="1"/>
        <v>1</v>
      </c>
    </row>
    <row r="990">
      <c r="A990" s="1" t="s">
        <v>131</v>
      </c>
      <c r="B990" s="1" t="s">
        <v>2633</v>
      </c>
      <c r="C990" s="1">
        <v>25.0</v>
      </c>
      <c r="D990" s="1">
        <v>442.0</v>
      </c>
      <c r="E990" s="1">
        <v>467.0</v>
      </c>
      <c r="F990" s="1" t="s">
        <v>2634</v>
      </c>
      <c r="G990" s="1" t="s">
        <v>2634</v>
      </c>
      <c r="H990" s="1" t="s">
        <v>190</v>
      </c>
      <c r="I990" s="1" t="s">
        <v>2275</v>
      </c>
      <c r="J990" s="1" t="s">
        <v>2559</v>
      </c>
      <c r="K990" s="1" t="s">
        <v>2277</v>
      </c>
      <c r="L990" s="1"/>
      <c r="M990" s="1" t="s">
        <v>191</v>
      </c>
      <c r="N990" s="6">
        <f>IFERROR(__xludf.DUMMYFUNCTION("IF(REGEXMATCH(A990, ""^00-""), 0, IF(AND(EQ(F990, """"), EQ(G990, """")), 1, 0))"),0.0)</f>
        <v>0</v>
      </c>
      <c r="O990" s="6">
        <f>IFERROR(__xludf.DUMMYFUNCTION("IF(REGEXMATCH(A990, ""^00-""), 0, IF(AND(NE(F990, """"), EQ(G990, """")), 1, 0))"),0.0)</f>
        <v>0</v>
      </c>
      <c r="P990" s="6">
        <f>IFERROR(__xludf.DUMMYFUNCTION("IF(REGEXMATCH(A990, ""^00-""), 0, IF(AND(EQ(F990, """"), NE(G990, """")), 1, 0))"),0.0)</f>
        <v>0</v>
      </c>
      <c r="Q990" s="6">
        <f>IFERROR(__xludf.DUMMYFUNCTION("IF(REGEXMATCH(A990, ""^00-""), 0, IF(AND(NE(F990, """"), NE(G990, """")), 1, 0))"),1.0)</f>
        <v>1</v>
      </c>
      <c r="R990" s="6">
        <f t="shared" si="1"/>
        <v>1</v>
      </c>
    </row>
    <row r="991">
      <c r="A991" s="1" t="s">
        <v>131</v>
      </c>
      <c r="B991" s="1" t="s">
        <v>2635</v>
      </c>
      <c r="C991" s="1">
        <v>25.0</v>
      </c>
      <c r="D991" s="1">
        <v>442.0</v>
      </c>
      <c r="E991" s="1">
        <v>467.0</v>
      </c>
      <c r="F991" s="1" t="s">
        <v>2636</v>
      </c>
      <c r="G991" s="1" t="s">
        <v>2636</v>
      </c>
      <c r="H991" s="1" t="s">
        <v>190</v>
      </c>
      <c r="I991" s="1" t="s">
        <v>2275</v>
      </c>
      <c r="J991" s="1" t="s">
        <v>2559</v>
      </c>
      <c r="K991" s="1" t="s">
        <v>2277</v>
      </c>
      <c r="L991" s="1"/>
      <c r="M991" s="1" t="s">
        <v>191</v>
      </c>
      <c r="N991" s="6">
        <f>IFERROR(__xludf.DUMMYFUNCTION("IF(REGEXMATCH(A991, ""^00-""), 0, IF(AND(EQ(F991, """"), EQ(G991, """")), 1, 0))"),0.0)</f>
        <v>0</v>
      </c>
      <c r="O991" s="6">
        <f>IFERROR(__xludf.DUMMYFUNCTION("IF(REGEXMATCH(A991, ""^00-""), 0, IF(AND(NE(F991, """"), EQ(G991, """")), 1, 0))"),0.0)</f>
        <v>0</v>
      </c>
      <c r="P991" s="6">
        <f>IFERROR(__xludf.DUMMYFUNCTION("IF(REGEXMATCH(A991, ""^00-""), 0, IF(AND(EQ(F991, """"), NE(G991, """")), 1, 0))"),0.0)</f>
        <v>0</v>
      </c>
      <c r="Q991" s="6">
        <f>IFERROR(__xludf.DUMMYFUNCTION("IF(REGEXMATCH(A991, ""^00-""), 0, IF(AND(NE(F991, """"), NE(G991, """")), 1, 0))"),1.0)</f>
        <v>1</v>
      </c>
      <c r="R991" s="6">
        <f t="shared" si="1"/>
        <v>1</v>
      </c>
    </row>
    <row r="992">
      <c r="A992" s="1" t="s">
        <v>131</v>
      </c>
      <c r="B992" s="1" t="s">
        <v>2637</v>
      </c>
      <c r="C992" s="1">
        <v>25.0</v>
      </c>
      <c r="D992" s="1">
        <v>442.0</v>
      </c>
      <c r="E992" s="1">
        <v>467.0</v>
      </c>
      <c r="F992" s="1" t="s">
        <v>2638</v>
      </c>
      <c r="G992" s="1" t="s">
        <v>2638</v>
      </c>
      <c r="H992" s="1" t="s">
        <v>190</v>
      </c>
      <c r="I992" s="1" t="s">
        <v>2275</v>
      </c>
      <c r="J992" s="1" t="s">
        <v>2559</v>
      </c>
      <c r="K992" s="1" t="s">
        <v>2277</v>
      </c>
      <c r="L992" s="1"/>
      <c r="M992" s="1" t="s">
        <v>191</v>
      </c>
      <c r="N992" s="6">
        <f>IFERROR(__xludf.DUMMYFUNCTION("IF(REGEXMATCH(A992, ""^00-""), 0, IF(AND(EQ(F992, """"), EQ(G992, """")), 1, 0))"),0.0)</f>
        <v>0</v>
      </c>
      <c r="O992" s="6">
        <f>IFERROR(__xludf.DUMMYFUNCTION("IF(REGEXMATCH(A992, ""^00-""), 0, IF(AND(NE(F992, """"), EQ(G992, """")), 1, 0))"),0.0)</f>
        <v>0</v>
      </c>
      <c r="P992" s="6">
        <f>IFERROR(__xludf.DUMMYFUNCTION("IF(REGEXMATCH(A992, ""^00-""), 0, IF(AND(EQ(F992, """"), NE(G992, """")), 1, 0))"),0.0)</f>
        <v>0</v>
      </c>
      <c r="Q992" s="6">
        <f>IFERROR(__xludf.DUMMYFUNCTION("IF(REGEXMATCH(A992, ""^00-""), 0, IF(AND(NE(F992, """"), NE(G992, """")), 1, 0))"),1.0)</f>
        <v>1</v>
      </c>
      <c r="R992" s="6">
        <f t="shared" si="1"/>
        <v>1</v>
      </c>
    </row>
    <row r="993">
      <c r="A993" s="1" t="s">
        <v>131</v>
      </c>
      <c r="B993" s="1" t="s">
        <v>2639</v>
      </c>
      <c r="C993" s="1">
        <v>426.0</v>
      </c>
      <c r="D993" s="1">
        <v>41.0</v>
      </c>
      <c r="E993" s="1">
        <v>467.0</v>
      </c>
      <c r="F993" s="1" t="s">
        <v>2640</v>
      </c>
      <c r="G993" s="1" t="s">
        <v>2640</v>
      </c>
      <c r="H993" s="1" t="s">
        <v>269</v>
      </c>
      <c r="I993" s="1" t="s">
        <v>2275</v>
      </c>
      <c r="J993" s="1" t="s">
        <v>2559</v>
      </c>
      <c r="K993" s="1" t="s">
        <v>2277</v>
      </c>
      <c r="L993" s="1"/>
      <c r="M993" s="1" t="s">
        <v>2641</v>
      </c>
      <c r="N993" s="6">
        <f>IFERROR(__xludf.DUMMYFUNCTION("IF(REGEXMATCH(A993, ""^00-""), 0, IF(AND(EQ(F993, """"), EQ(G993, """")), 1, 0))"),0.0)</f>
        <v>0</v>
      </c>
      <c r="O993" s="6">
        <f>IFERROR(__xludf.DUMMYFUNCTION("IF(REGEXMATCH(A993, ""^00-""), 0, IF(AND(NE(F993, """"), EQ(G993, """")), 1, 0))"),0.0)</f>
        <v>0</v>
      </c>
      <c r="P993" s="6">
        <f>IFERROR(__xludf.DUMMYFUNCTION("IF(REGEXMATCH(A993, ""^00-""), 0, IF(AND(EQ(F993, """"), NE(G993, """")), 1, 0))"),0.0)</f>
        <v>0</v>
      </c>
      <c r="Q993" s="6">
        <f>IFERROR(__xludf.DUMMYFUNCTION("IF(REGEXMATCH(A993, ""^00-""), 0, IF(AND(NE(F993, """"), NE(G993, """")), 1, 0))"),1.0)</f>
        <v>1</v>
      </c>
      <c r="R993" s="6">
        <f t="shared" si="1"/>
        <v>1</v>
      </c>
    </row>
    <row r="994">
      <c r="A994" s="1" t="s">
        <v>131</v>
      </c>
      <c r="B994" s="1" t="s">
        <v>2642</v>
      </c>
      <c r="C994" s="1">
        <v>425.0</v>
      </c>
      <c r="D994" s="1">
        <v>42.0</v>
      </c>
      <c r="E994" s="1">
        <v>467.0</v>
      </c>
      <c r="F994" s="1" t="s">
        <v>2643</v>
      </c>
      <c r="G994" s="1" t="s">
        <v>2643</v>
      </c>
      <c r="H994" s="1" t="s">
        <v>269</v>
      </c>
      <c r="I994" s="1" t="s">
        <v>2275</v>
      </c>
      <c r="J994" s="1" t="s">
        <v>2559</v>
      </c>
      <c r="K994" s="1" t="s">
        <v>2277</v>
      </c>
      <c r="L994" s="1"/>
      <c r="M994" s="1" t="s">
        <v>2641</v>
      </c>
      <c r="N994" s="6">
        <f>IFERROR(__xludf.DUMMYFUNCTION("IF(REGEXMATCH(A994, ""^00-""), 0, IF(AND(EQ(F994, """"), EQ(G994, """")), 1, 0))"),0.0)</f>
        <v>0</v>
      </c>
      <c r="O994" s="6">
        <f>IFERROR(__xludf.DUMMYFUNCTION("IF(REGEXMATCH(A994, ""^00-""), 0, IF(AND(NE(F994, """"), EQ(G994, """")), 1, 0))"),0.0)</f>
        <v>0</v>
      </c>
      <c r="P994" s="6">
        <f>IFERROR(__xludf.DUMMYFUNCTION("IF(REGEXMATCH(A994, ""^00-""), 0, IF(AND(EQ(F994, """"), NE(G994, """")), 1, 0))"),0.0)</f>
        <v>0</v>
      </c>
      <c r="Q994" s="6">
        <f>IFERROR(__xludf.DUMMYFUNCTION("IF(REGEXMATCH(A994, ""^00-""), 0, IF(AND(NE(F994, """"), NE(G994, """")), 1, 0))"),1.0)</f>
        <v>1</v>
      </c>
      <c r="R994" s="6">
        <f t="shared" si="1"/>
        <v>1</v>
      </c>
    </row>
    <row r="995">
      <c r="A995" s="1" t="s">
        <v>131</v>
      </c>
      <c r="B995" s="1" t="s">
        <v>2644</v>
      </c>
      <c r="C995" s="1">
        <v>425.0</v>
      </c>
      <c r="D995" s="1">
        <v>42.0</v>
      </c>
      <c r="E995" s="1">
        <v>467.0</v>
      </c>
      <c r="F995" s="1" t="s">
        <v>2645</v>
      </c>
      <c r="G995" s="1" t="s">
        <v>2645</v>
      </c>
      <c r="H995" s="1" t="s">
        <v>269</v>
      </c>
      <c r="I995" s="1" t="s">
        <v>2275</v>
      </c>
      <c r="J995" s="1" t="s">
        <v>2559</v>
      </c>
      <c r="K995" s="1" t="s">
        <v>2277</v>
      </c>
      <c r="L995" s="1"/>
      <c r="M995" s="1" t="s">
        <v>2641</v>
      </c>
      <c r="N995" s="6">
        <f>IFERROR(__xludf.DUMMYFUNCTION("IF(REGEXMATCH(A995, ""^00-""), 0, IF(AND(EQ(F995, """"), EQ(G995, """")), 1, 0))"),0.0)</f>
        <v>0</v>
      </c>
      <c r="O995" s="6">
        <f>IFERROR(__xludf.DUMMYFUNCTION("IF(REGEXMATCH(A995, ""^00-""), 0, IF(AND(NE(F995, """"), EQ(G995, """")), 1, 0))"),0.0)</f>
        <v>0</v>
      </c>
      <c r="P995" s="6">
        <f>IFERROR(__xludf.DUMMYFUNCTION("IF(REGEXMATCH(A995, ""^00-""), 0, IF(AND(EQ(F995, """"), NE(G995, """")), 1, 0))"),0.0)</f>
        <v>0</v>
      </c>
      <c r="Q995" s="6">
        <f>IFERROR(__xludf.DUMMYFUNCTION("IF(REGEXMATCH(A995, ""^00-""), 0, IF(AND(NE(F995, """"), NE(G995, """")), 1, 0))"),1.0)</f>
        <v>1</v>
      </c>
      <c r="R995" s="6">
        <f t="shared" si="1"/>
        <v>1</v>
      </c>
    </row>
    <row r="996">
      <c r="A996" s="1" t="s">
        <v>131</v>
      </c>
      <c r="B996" s="1" t="s">
        <v>2646</v>
      </c>
      <c r="C996" s="1">
        <v>425.0</v>
      </c>
      <c r="D996" s="1">
        <v>42.0</v>
      </c>
      <c r="E996" s="1">
        <v>467.0</v>
      </c>
      <c r="F996" s="1" t="s">
        <v>2647</v>
      </c>
      <c r="G996" s="1" t="s">
        <v>2647</v>
      </c>
      <c r="H996" s="1" t="s">
        <v>269</v>
      </c>
      <c r="I996" s="1" t="s">
        <v>2275</v>
      </c>
      <c r="J996" s="1" t="s">
        <v>2559</v>
      </c>
      <c r="K996" s="1" t="s">
        <v>2277</v>
      </c>
      <c r="L996" s="1"/>
      <c r="M996" s="1" t="s">
        <v>2641</v>
      </c>
      <c r="N996" s="6">
        <f>IFERROR(__xludf.DUMMYFUNCTION("IF(REGEXMATCH(A996, ""^00-""), 0, IF(AND(EQ(F996, """"), EQ(G996, """")), 1, 0))"),0.0)</f>
        <v>0</v>
      </c>
      <c r="O996" s="6">
        <f>IFERROR(__xludf.DUMMYFUNCTION("IF(REGEXMATCH(A996, ""^00-""), 0, IF(AND(NE(F996, """"), EQ(G996, """")), 1, 0))"),0.0)</f>
        <v>0</v>
      </c>
      <c r="P996" s="6">
        <f>IFERROR(__xludf.DUMMYFUNCTION("IF(REGEXMATCH(A996, ""^00-""), 0, IF(AND(EQ(F996, """"), NE(G996, """")), 1, 0))"),0.0)</f>
        <v>0</v>
      </c>
      <c r="Q996" s="6">
        <f>IFERROR(__xludf.DUMMYFUNCTION("IF(REGEXMATCH(A996, ""^00-""), 0, IF(AND(NE(F996, """"), NE(G996, """")), 1, 0))"),1.0)</f>
        <v>1</v>
      </c>
      <c r="R996" s="6">
        <f t="shared" si="1"/>
        <v>1</v>
      </c>
    </row>
    <row r="997">
      <c r="A997" s="1" t="s">
        <v>131</v>
      </c>
      <c r="B997" s="1" t="s">
        <v>2648</v>
      </c>
      <c r="C997" s="1">
        <v>425.0</v>
      </c>
      <c r="D997" s="1">
        <v>42.0</v>
      </c>
      <c r="E997" s="1">
        <v>467.0</v>
      </c>
      <c r="F997" s="1" t="s">
        <v>2649</v>
      </c>
      <c r="G997" s="1" t="s">
        <v>2649</v>
      </c>
      <c r="H997" s="1" t="s">
        <v>269</v>
      </c>
      <c r="I997" s="1" t="s">
        <v>2275</v>
      </c>
      <c r="J997" s="1" t="s">
        <v>2559</v>
      </c>
      <c r="K997" s="1" t="s">
        <v>2277</v>
      </c>
      <c r="L997" s="1"/>
      <c r="M997" s="1" t="s">
        <v>2641</v>
      </c>
      <c r="N997" s="6">
        <f>IFERROR(__xludf.DUMMYFUNCTION("IF(REGEXMATCH(A997, ""^00-""), 0, IF(AND(EQ(F997, """"), EQ(G997, """")), 1, 0))"),0.0)</f>
        <v>0</v>
      </c>
      <c r="O997" s="6">
        <f>IFERROR(__xludf.DUMMYFUNCTION("IF(REGEXMATCH(A997, ""^00-""), 0, IF(AND(NE(F997, """"), EQ(G997, """")), 1, 0))"),0.0)</f>
        <v>0</v>
      </c>
      <c r="P997" s="6">
        <f>IFERROR(__xludf.DUMMYFUNCTION("IF(REGEXMATCH(A997, ""^00-""), 0, IF(AND(EQ(F997, """"), NE(G997, """")), 1, 0))"),0.0)</f>
        <v>0</v>
      </c>
      <c r="Q997" s="6">
        <f>IFERROR(__xludf.DUMMYFUNCTION("IF(REGEXMATCH(A997, ""^00-""), 0, IF(AND(NE(F997, """"), NE(G997, """")), 1, 0))"),1.0)</f>
        <v>1</v>
      </c>
      <c r="R997" s="6">
        <f t="shared" si="1"/>
        <v>1</v>
      </c>
    </row>
    <row r="998">
      <c r="A998" s="1" t="s">
        <v>131</v>
      </c>
      <c r="B998" s="1" t="s">
        <v>2650</v>
      </c>
      <c r="C998" s="1">
        <v>426.0</v>
      </c>
      <c r="D998" s="1">
        <v>41.0</v>
      </c>
      <c r="E998" s="1">
        <v>467.0</v>
      </c>
      <c r="F998" s="1" t="s">
        <v>2651</v>
      </c>
      <c r="G998" s="1" t="s">
        <v>2651</v>
      </c>
      <c r="H998" s="1" t="s">
        <v>269</v>
      </c>
      <c r="I998" s="1" t="s">
        <v>2275</v>
      </c>
      <c r="J998" s="1" t="s">
        <v>2559</v>
      </c>
      <c r="K998" s="1" t="s">
        <v>2277</v>
      </c>
      <c r="L998" s="1"/>
      <c r="M998" s="1" t="s">
        <v>2641</v>
      </c>
      <c r="N998" s="6">
        <f>IFERROR(__xludf.DUMMYFUNCTION("IF(REGEXMATCH(A998, ""^00-""), 0, IF(AND(EQ(F998, """"), EQ(G998, """")), 1, 0))"),0.0)</f>
        <v>0</v>
      </c>
      <c r="O998" s="6">
        <f>IFERROR(__xludf.DUMMYFUNCTION("IF(REGEXMATCH(A998, ""^00-""), 0, IF(AND(NE(F998, """"), EQ(G998, """")), 1, 0))"),0.0)</f>
        <v>0</v>
      </c>
      <c r="P998" s="6">
        <f>IFERROR(__xludf.DUMMYFUNCTION("IF(REGEXMATCH(A998, ""^00-""), 0, IF(AND(EQ(F998, """"), NE(G998, """")), 1, 0))"),0.0)</f>
        <v>0</v>
      </c>
      <c r="Q998" s="6">
        <f>IFERROR(__xludf.DUMMYFUNCTION("IF(REGEXMATCH(A998, ""^00-""), 0, IF(AND(NE(F998, """"), NE(G998, """")), 1, 0))"),1.0)</f>
        <v>1</v>
      </c>
      <c r="R998" s="6">
        <f t="shared" si="1"/>
        <v>1</v>
      </c>
    </row>
    <row r="999">
      <c r="A999" s="1" t="s">
        <v>131</v>
      </c>
      <c r="B999" s="1" t="s">
        <v>2652</v>
      </c>
      <c r="C999" s="1">
        <v>426.0</v>
      </c>
      <c r="D999" s="1">
        <v>41.0</v>
      </c>
      <c r="E999" s="1">
        <v>467.0</v>
      </c>
      <c r="F999" s="1" t="s">
        <v>2653</v>
      </c>
      <c r="G999" s="1" t="s">
        <v>2653</v>
      </c>
      <c r="H999" s="1" t="s">
        <v>269</v>
      </c>
      <c r="I999" s="1" t="s">
        <v>2275</v>
      </c>
      <c r="J999" s="1" t="s">
        <v>2559</v>
      </c>
      <c r="K999" s="1" t="s">
        <v>2277</v>
      </c>
      <c r="L999" s="1"/>
      <c r="M999" s="1" t="s">
        <v>2641</v>
      </c>
      <c r="N999" s="6">
        <f>IFERROR(__xludf.DUMMYFUNCTION("IF(REGEXMATCH(A999, ""^00-""), 0, IF(AND(EQ(F999, """"), EQ(G999, """")), 1, 0))"),0.0)</f>
        <v>0</v>
      </c>
      <c r="O999" s="6">
        <f>IFERROR(__xludf.DUMMYFUNCTION("IF(REGEXMATCH(A999, ""^00-""), 0, IF(AND(NE(F999, """"), EQ(G999, """")), 1, 0))"),0.0)</f>
        <v>0</v>
      </c>
      <c r="P999" s="6">
        <f>IFERROR(__xludf.DUMMYFUNCTION("IF(REGEXMATCH(A999, ""^00-""), 0, IF(AND(EQ(F999, """"), NE(G999, """")), 1, 0))"),0.0)</f>
        <v>0</v>
      </c>
      <c r="Q999" s="6">
        <f>IFERROR(__xludf.DUMMYFUNCTION("IF(REGEXMATCH(A999, ""^00-""), 0, IF(AND(NE(F999, """"), NE(G999, """")), 1, 0))"),1.0)</f>
        <v>1</v>
      </c>
      <c r="R999" s="6">
        <f t="shared" si="1"/>
        <v>1</v>
      </c>
    </row>
    <row r="1000">
      <c r="A1000" s="1" t="s">
        <v>131</v>
      </c>
      <c r="B1000" s="1" t="s">
        <v>2654</v>
      </c>
      <c r="C1000" s="1">
        <v>426.0</v>
      </c>
      <c r="D1000" s="1">
        <v>41.0</v>
      </c>
      <c r="E1000" s="1">
        <v>467.0</v>
      </c>
      <c r="F1000" s="1" t="s">
        <v>2655</v>
      </c>
      <c r="G1000" s="1" t="s">
        <v>2655</v>
      </c>
      <c r="H1000" s="1" t="s">
        <v>190</v>
      </c>
      <c r="I1000" s="1" t="s">
        <v>2275</v>
      </c>
      <c r="J1000" s="1" t="s">
        <v>2559</v>
      </c>
      <c r="K1000" s="1" t="s">
        <v>2277</v>
      </c>
      <c r="L1000" s="1"/>
      <c r="M1000" s="1" t="s">
        <v>191</v>
      </c>
      <c r="N1000" s="6">
        <f>IFERROR(__xludf.DUMMYFUNCTION("IF(REGEXMATCH(A1000, ""^00-""), 0, IF(AND(EQ(F1000, """"), EQ(G1000, """")), 1, 0))"),0.0)</f>
        <v>0</v>
      </c>
      <c r="O1000" s="6">
        <f>IFERROR(__xludf.DUMMYFUNCTION("IF(REGEXMATCH(A1000, ""^00-""), 0, IF(AND(NE(F1000, """"), EQ(G1000, """")), 1, 0))"),0.0)</f>
        <v>0</v>
      </c>
      <c r="P1000" s="6">
        <f>IFERROR(__xludf.DUMMYFUNCTION("IF(REGEXMATCH(A1000, ""^00-""), 0, IF(AND(EQ(F1000, """"), NE(G1000, """")), 1, 0))"),0.0)</f>
        <v>0</v>
      </c>
      <c r="Q1000" s="6">
        <f>IFERROR(__xludf.DUMMYFUNCTION("IF(REGEXMATCH(A1000, ""^00-""), 0, IF(AND(NE(F1000, """"), NE(G1000, """")), 1, 0))"),1.0)</f>
        <v>1</v>
      </c>
      <c r="R1000" s="6">
        <f t="shared" si="1"/>
        <v>1</v>
      </c>
    </row>
    <row r="1001">
      <c r="A1001" s="1" t="s">
        <v>131</v>
      </c>
      <c r="B1001" s="1" t="s">
        <v>2656</v>
      </c>
      <c r="C1001" s="1">
        <v>425.0</v>
      </c>
      <c r="D1001" s="1">
        <v>42.0</v>
      </c>
      <c r="E1001" s="1">
        <v>467.0</v>
      </c>
      <c r="F1001" s="1" t="s">
        <v>2657</v>
      </c>
      <c r="G1001" s="1" t="s">
        <v>2657</v>
      </c>
      <c r="H1001" s="1" t="s">
        <v>269</v>
      </c>
      <c r="I1001" s="1" t="s">
        <v>2275</v>
      </c>
      <c r="J1001" s="1" t="s">
        <v>2559</v>
      </c>
      <c r="K1001" s="1" t="s">
        <v>2277</v>
      </c>
      <c r="L1001" s="1"/>
      <c r="M1001" s="1" t="s">
        <v>2656</v>
      </c>
      <c r="N1001" s="6">
        <f>IFERROR(__xludf.DUMMYFUNCTION("IF(REGEXMATCH(A1001, ""^00-""), 0, IF(AND(EQ(F1001, """"), EQ(G1001, """")), 1, 0))"),0.0)</f>
        <v>0</v>
      </c>
      <c r="O1001" s="6">
        <f>IFERROR(__xludf.DUMMYFUNCTION("IF(REGEXMATCH(A1001, ""^00-""), 0, IF(AND(NE(F1001, """"), EQ(G1001, """")), 1, 0))"),0.0)</f>
        <v>0</v>
      </c>
      <c r="P1001" s="6">
        <f>IFERROR(__xludf.DUMMYFUNCTION("IF(REGEXMATCH(A1001, ""^00-""), 0, IF(AND(EQ(F1001, """"), NE(G1001, """")), 1, 0))"),0.0)</f>
        <v>0</v>
      </c>
      <c r="Q1001" s="6">
        <f>IFERROR(__xludf.DUMMYFUNCTION("IF(REGEXMATCH(A1001, ""^00-""), 0, IF(AND(NE(F1001, """"), NE(G1001, """")), 1, 0))"),1.0)</f>
        <v>1</v>
      </c>
      <c r="R1001" s="6">
        <f t="shared" si="1"/>
        <v>1</v>
      </c>
    </row>
    <row r="1002">
      <c r="A1002" s="1" t="s">
        <v>131</v>
      </c>
      <c r="B1002" s="1" t="s">
        <v>2658</v>
      </c>
      <c r="C1002" s="1">
        <v>421.0</v>
      </c>
      <c r="D1002" s="1">
        <v>46.0</v>
      </c>
      <c r="E1002" s="1">
        <v>467.0</v>
      </c>
      <c r="F1002" s="1" t="s">
        <v>2659</v>
      </c>
      <c r="G1002" s="1" t="s">
        <v>2659</v>
      </c>
      <c r="H1002" s="1" t="s">
        <v>269</v>
      </c>
      <c r="I1002" s="1" t="s">
        <v>2275</v>
      </c>
      <c r="J1002" s="1" t="s">
        <v>2559</v>
      </c>
      <c r="K1002" s="1" t="s">
        <v>2277</v>
      </c>
      <c r="L1002" s="1"/>
      <c r="M1002" s="1" t="s">
        <v>2658</v>
      </c>
      <c r="N1002" s="6">
        <f>IFERROR(__xludf.DUMMYFUNCTION("IF(REGEXMATCH(A1002, ""^00-""), 0, IF(AND(EQ(F1002, """"), EQ(G1002, """")), 1, 0))"),0.0)</f>
        <v>0</v>
      </c>
      <c r="O1002" s="6">
        <f>IFERROR(__xludf.DUMMYFUNCTION("IF(REGEXMATCH(A1002, ""^00-""), 0, IF(AND(NE(F1002, """"), EQ(G1002, """")), 1, 0))"),0.0)</f>
        <v>0</v>
      </c>
      <c r="P1002" s="6">
        <f>IFERROR(__xludf.DUMMYFUNCTION("IF(REGEXMATCH(A1002, ""^00-""), 0, IF(AND(EQ(F1002, """"), NE(G1002, """")), 1, 0))"),0.0)</f>
        <v>0</v>
      </c>
      <c r="Q1002" s="6">
        <f>IFERROR(__xludf.DUMMYFUNCTION("IF(REGEXMATCH(A1002, ""^00-""), 0, IF(AND(NE(F1002, """"), NE(G1002, """")), 1, 0))"),1.0)</f>
        <v>1</v>
      </c>
      <c r="R1002" s="6">
        <f t="shared" si="1"/>
        <v>1</v>
      </c>
    </row>
    <row r="1003">
      <c r="A1003" s="1" t="s">
        <v>131</v>
      </c>
      <c r="B1003" s="1" t="s">
        <v>2660</v>
      </c>
      <c r="C1003" s="1">
        <v>426.0</v>
      </c>
      <c r="D1003" s="1">
        <v>41.0</v>
      </c>
      <c r="E1003" s="1">
        <v>467.0</v>
      </c>
      <c r="F1003" s="1" t="s">
        <v>2661</v>
      </c>
      <c r="G1003" s="1" t="s">
        <v>2661</v>
      </c>
      <c r="H1003" s="1" t="s">
        <v>269</v>
      </c>
      <c r="I1003" s="1" t="s">
        <v>2275</v>
      </c>
      <c r="J1003" s="1" t="s">
        <v>2559</v>
      </c>
      <c r="K1003" s="1" t="s">
        <v>2277</v>
      </c>
      <c r="L1003" s="1"/>
      <c r="M1003" s="1" t="s">
        <v>2662</v>
      </c>
      <c r="N1003" s="6">
        <f>IFERROR(__xludf.DUMMYFUNCTION("IF(REGEXMATCH(A1003, ""^00-""), 0, IF(AND(EQ(F1003, """"), EQ(G1003, """")), 1, 0))"),0.0)</f>
        <v>0</v>
      </c>
      <c r="O1003" s="6">
        <f>IFERROR(__xludf.DUMMYFUNCTION("IF(REGEXMATCH(A1003, ""^00-""), 0, IF(AND(NE(F1003, """"), EQ(G1003, """")), 1, 0))"),0.0)</f>
        <v>0</v>
      </c>
      <c r="P1003" s="6">
        <f>IFERROR(__xludf.DUMMYFUNCTION("IF(REGEXMATCH(A1003, ""^00-""), 0, IF(AND(EQ(F1003, """"), NE(G1003, """")), 1, 0))"),0.0)</f>
        <v>0</v>
      </c>
      <c r="Q1003" s="6">
        <f>IFERROR(__xludf.DUMMYFUNCTION("IF(REGEXMATCH(A1003, ""^00-""), 0, IF(AND(NE(F1003, """"), NE(G1003, """")), 1, 0))"),1.0)</f>
        <v>1</v>
      </c>
      <c r="R1003" s="6">
        <f t="shared" si="1"/>
        <v>1</v>
      </c>
    </row>
    <row r="1004">
      <c r="A1004" s="1" t="s">
        <v>131</v>
      </c>
      <c r="B1004" s="1" t="s">
        <v>2663</v>
      </c>
      <c r="C1004" s="1">
        <v>426.0</v>
      </c>
      <c r="D1004" s="1">
        <v>41.0</v>
      </c>
      <c r="E1004" s="1">
        <v>467.0</v>
      </c>
      <c r="F1004" s="1" t="s">
        <v>2664</v>
      </c>
      <c r="G1004" s="1" t="s">
        <v>2664</v>
      </c>
      <c r="H1004" s="1" t="s">
        <v>269</v>
      </c>
      <c r="I1004" s="1" t="s">
        <v>2275</v>
      </c>
      <c r="J1004" s="1" t="s">
        <v>2559</v>
      </c>
      <c r="K1004" s="1" t="s">
        <v>2277</v>
      </c>
      <c r="L1004" s="1"/>
      <c r="M1004" s="1" t="s">
        <v>2662</v>
      </c>
      <c r="N1004" s="6">
        <f>IFERROR(__xludf.DUMMYFUNCTION("IF(REGEXMATCH(A1004, ""^00-""), 0, IF(AND(EQ(F1004, """"), EQ(G1004, """")), 1, 0))"),0.0)</f>
        <v>0</v>
      </c>
      <c r="O1004" s="6">
        <f>IFERROR(__xludf.DUMMYFUNCTION("IF(REGEXMATCH(A1004, ""^00-""), 0, IF(AND(NE(F1004, """"), EQ(G1004, """")), 1, 0))"),0.0)</f>
        <v>0</v>
      </c>
      <c r="P1004" s="6">
        <f>IFERROR(__xludf.DUMMYFUNCTION("IF(REGEXMATCH(A1004, ""^00-""), 0, IF(AND(EQ(F1004, """"), NE(G1004, """")), 1, 0))"),0.0)</f>
        <v>0</v>
      </c>
      <c r="Q1004" s="6">
        <f>IFERROR(__xludf.DUMMYFUNCTION("IF(REGEXMATCH(A1004, ""^00-""), 0, IF(AND(NE(F1004, """"), NE(G1004, """")), 1, 0))"),1.0)</f>
        <v>1</v>
      </c>
      <c r="R1004" s="6">
        <f t="shared" si="1"/>
        <v>1</v>
      </c>
    </row>
    <row r="1005">
      <c r="A1005" s="1" t="s">
        <v>131</v>
      </c>
      <c r="B1005" s="1" t="s">
        <v>2665</v>
      </c>
      <c r="C1005" s="1">
        <v>413.0</v>
      </c>
      <c r="D1005" s="1">
        <v>54.0</v>
      </c>
      <c r="E1005" s="1">
        <v>467.0</v>
      </c>
      <c r="F1005" s="1" t="s">
        <v>2666</v>
      </c>
      <c r="G1005" s="1" t="s">
        <v>2666</v>
      </c>
      <c r="H1005" s="1" t="s">
        <v>269</v>
      </c>
      <c r="I1005" s="1" t="s">
        <v>2275</v>
      </c>
      <c r="J1005" s="1" t="s">
        <v>2559</v>
      </c>
      <c r="K1005" s="1" t="s">
        <v>2277</v>
      </c>
      <c r="L1005" s="1"/>
      <c r="M1005" s="1" t="s">
        <v>2667</v>
      </c>
      <c r="N1005" s="6">
        <f>IFERROR(__xludf.DUMMYFUNCTION("IF(REGEXMATCH(A1005, ""^00-""), 0, IF(AND(EQ(F1005, """"), EQ(G1005, """")), 1, 0))"),0.0)</f>
        <v>0</v>
      </c>
      <c r="O1005" s="6">
        <f>IFERROR(__xludf.DUMMYFUNCTION("IF(REGEXMATCH(A1005, ""^00-""), 0, IF(AND(NE(F1005, """"), EQ(G1005, """")), 1, 0))"),0.0)</f>
        <v>0</v>
      </c>
      <c r="P1005" s="6">
        <f>IFERROR(__xludf.DUMMYFUNCTION("IF(REGEXMATCH(A1005, ""^00-""), 0, IF(AND(EQ(F1005, """"), NE(G1005, """")), 1, 0))"),0.0)</f>
        <v>0</v>
      </c>
      <c r="Q1005" s="6">
        <f>IFERROR(__xludf.DUMMYFUNCTION("IF(REGEXMATCH(A1005, ""^00-""), 0, IF(AND(NE(F1005, """"), NE(G1005, """")), 1, 0))"),1.0)</f>
        <v>1</v>
      </c>
      <c r="R1005" s="6">
        <f t="shared" si="1"/>
        <v>1</v>
      </c>
    </row>
    <row r="1006">
      <c r="A1006" s="1" t="s">
        <v>131</v>
      </c>
      <c r="B1006" s="1" t="s">
        <v>2668</v>
      </c>
      <c r="C1006" s="1">
        <v>412.0</v>
      </c>
      <c r="D1006" s="1">
        <v>55.0</v>
      </c>
      <c r="E1006" s="1">
        <v>467.0</v>
      </c>
      <c r="F1006" s="1" t="s">
        <v>2669</v>
      </c>
      <c r="G1006" s="1" t="s">
        <v>2669</v>
      </c>
      <c r="H1006" s="1" t="s">
        <v>269</v>
      </c>
      <c r="I1006" s="1" t="s">
        <v>2275</v>
      </c>
      <c r="J1006" s="1" t="s">
        <v>2559</v>
      </c>
      <c r="K1006" s="1" t="s">
        <v>2277</v>
      </c>
      <c r="L1006" s="1"/>
      <c r="M1006" s="1" t="s">
        <v>2667</v>
      </c>
      <c r="N1006" s="6">
        <f>IFERROR(__xludf.DUMMYFUNCTION("IF(REGEXMATCH(A1006, ""^00-""), 0, IF(AND(EQ(F1006, """"), EQ(G1006, """")), 1, 0))"),0.0)</f>
        <v>0</v>
      </c>
      <c r="O1006" s="6">
        <f>IFERROR(__xludf.DUMMYFUNCTION("IF(REGEXMATCH(A1006, ""^00-""), 0, IF(AND(NE(F1006, """"), EQ(G1006, """")), 1, 0))"),0.0)</f>
        <v>0</v>
      </c>
      <c r="P1006" s="6">
        <f>IFERROR(__xludf.DUMMYFUNCTION("IF(REGEXMATCH(A1006, ""^00-""), 0, IF(AND(EQ(F1006, """"), NE(G1006, """")), 1, 0))"),0.0)</f>
        <v>0</v>
      </c>
      <c r="Q1006" s="6">
        <f>IFERROR(__xludf.DUMMYFUNCTION("IF(REGEXMATCH(A1006, ""^00-""), 0, IF(AND(NE(F1006, """"), NE(G1006, """")), 1, 0))"),1.0)</f>
        <v>1</v>
      </c>
      <c r="R1006" s="6">
        <f t="shared" si="1"/>
        <v>1</v>
      </c>
    </row>
    <row r="1007">
      <c r="A1007" s="1" t="s">
        <v>131</v>
      </c>
      <c r="B1007" s="1" t="s">
        <v>2670</v>
      </c>
      <c r="C1007" s="1">
        <v>420.0</v>
      </c>
      <c r="D1007" s="1">
        <v>47.0</v>
      </c>
      <c r="E1007" s="1">
        <v>467.0</v>
      </c>
      <c r="F1007" s="1" t="s">
        <v>2671</v>
      </c>
      <c r="G1007" s="1" t="s">
        <v>2671</v>
      </c>
      <c r="H1007" s="1" t="s">
        <v>269</v>
      </c>
      <c r="I1007" s="1" t="s">
        <v>2275</v>
      </c>
      <c r="J1007" s="1" t="s">
        <v>2559</v>
      </c>
      <c r="K1007" s="1" t="s">
        <v>2277</v>
      </c>
      <c r="L1007" s="1"/>
      <c r="M1007" s="1" t="s">
        <v>2667</v>
      </c>
      <c r="N1007" s="6">
        <f>IFERROR(__xludf.DUMMYFUNCTION("IF(REGEXMATCH(A1007, ""^00-""), 0, IF(AND(EQ(F1007, """"), EQ(G1007, """")), 1, 0))"),0.0)</f>
        <v>0</v>
      </c>
      <c r="O1007" s="6">
        <f>IFERROR(__xludf.DUMMYFUNCTION("IF(REGEXMATCH(A1007, ""^00-""), 0, IF(AND(NE(F1007, """"), EQ(G1007, """")), 1, 0))"),0.0)</f>
        <v>0</v>
      </c>
      <c r="P1007" s="6">
        <f>IFERROR(__xludf.DUMMYFUNCTION("IF(REGEXMATCH(A1007, ""^00-""), 0, IF(AND(EQ(F1007, """"), NE(G1007, """")), 1, 0))"),0.0)</f>
        <v>0</v>
      </c>
      <c r="Q1007" s="6">
        <f>IFERROR(__xludf.DUMMYFUNCTION("IF(REGEXMATCH(A1007, ""^00-""), 0, IF(AND(NE(F1007, """"), NE(G1007, """")), 1, 0))"),1.0)</f>
        <v>1</v>
      </c>
      <c r="R1007" s="6">
        <f t="shared" si="1"/>
        <v>1</v>
      </c>
    </row>
    <row r="1008">
      <c r="A1008" s="1" t="s">
        <v>131</v>
      </c>
      <c r="B1008" s="1" t="s">
        <v>2672</v>
      </c>
      <c r="C1008" s="1">
        <v>421.0</v>
      </c>
      <c r="D1008" s="1">
        <v>46.0</v>
      </c>
      <c r="E1008" s="1">
        <v>467.0</v>
      </c>
      <c r="F1008" s="1" t="s">
        <v>2673</v>
      </c>
      <c r="G1008" s="1" t="s">
        <v>2673</v>
      </c>
      <c r="H1008" s="1" t="s">
        <v>269</v>
      </c>
      <c r="I1008" s="1" t="s">
        <v>2275</v>
      </c>
      <c r="J1008" s="1" t="s">
        <v>2559</v>
      </c>
      <c r="K1008" s="1" t="s">
        <v>2277</v>
      </c>
      <c r="L1008" s="1"/>
      <c r="M1008" s="1" t="s">
        <v>2667</v>
      </c>
      <c r="N1008" s="6">
        <f>IFERROR(__xludf.DUMMYFUNCTION("IF(REGEXMATCH(A1008, ""^00-""), 0, IF(AND(EQ(F1008, """"), EQ(G1008, """")), 1, 0))"),0.0)</f>
        <v>0</v>
      </c>
      <c r="O1008" s="6">
        <f>IFERROR(__xludf.DUMMYFUNCTION("IF(REGEXMATCH(A1008, ""^00-""), 0, IF(AND(NE(F1008, """"), EQ(G1008, """")), 1, 0))"),0.0)</f>
        <v>0</v>
      </c>
      <c r="P1008" s="6">
        <f>IFERROR(__xludf.DUMMYFUNCTION("IF(REGEXMATCH(A1008, ""^00-""), 0, IF(AND(EQ(F1008, """"), NE(G1008, """")), 1, 0))"),0.0)</f>
        <v>0</v>
      </c>
      <c r="Q1008" s="6">
        <f>IFERROR(__xludf.DUMMYFUNCTION("IF(REGEXMATCH(A1008, ""^00-""), 0, IF(AND(NE(F1008, """"), NE(G1008, """")), 1, 0))"),1.0)</f>
        <v>1</v>
      </c>
      <c r="R1008" s="6">
        <f t="shared" si="1"/>
        <v>1</v>
      </c>
    </row>
    <row r="1009">
      <c r="A1009" s="1" t="s">
        <v>131</v>
      </c>
      <c r="B1009" s="1" t="s">
        <v>2674</v>
      </c>
      <c r="C1009" s="1">
        <v>420.0</v>
      </c>
      <c r="D1009" s="1">
        <v>47.0</v>
      </c>
      <c r="E1009" s="1">
        <v>467.0</v>
      </c>
      <c r="F1009" s="1" t="s">
        <v>2675</v>
      </c>
      <c r="G1009" s="1" t="s">
        <v>2675</v>
      </c>
      <c r="H1009" s="1" t="s">
        <v>269</v>
      </c>
      <c r="I1009" s="1" t="s">
        <v>2275</v>
      </c>
      <c r="J1009" s="1" t="s">
        <v>2559</v>
      </c>
      <c r="K1009" s="1" t="s">
        <v>2277</v>
      </c>
      <c r="L1009" s="1"/>
      <c r="M1009" s="1" t="s">
        <v>2667</v>
      </c>
      <c r="N1009" s="6">
        <f>IFERROR(__xludf.DUMMYFUNCTION("IF(REGEXMATCH(A1009, ""^00-""), 0, IF(AND(EQ(F1009, """"), EQ(G1009, """")), 1, 0))"),0.0)</f>
        <v>0</v>
      </c>
      <c r="O1009" s="6">
        <f>IFERROR(__xludf.DUMMYFUNCTION("IF(REGEXMATCH(A1009, ""^00-""), 0, IF(AND(NE(F1009, """"), EQ(G1009, """")), 1, 0))"),0.0)</f>
        <v>0</v>
      </c>
      <c r="P1009" s="6">
        <f>IFERROR(__xludf.DUMMYFUNCTION("IF(REGEXMATCH(A1009, ""^00-""), 0, IF(AND(EQ(F1009, """"), NE(G1009, """")), 1, 0))"),0.0)</f>
        <v>0</v>
      </c>
      <c r="Q1009" s="6">
        <f>IFERROR(__xludf.DUMMYFUNCTION("IF(REGEXMATCH(A1009, ""^00-""), 0, IF(AND(NE(F1009, """"), NE(G1009, """")), 1, 0))"),1.0)</f>
        <v>1</v>
      </c>
      <c r="R1009" s="6">
        <f t="shared" si="1"/>
        <v>1</v>
      </c>
    </row>
    <row r="1010">
      <c r="A1010" s="1" t="s">
        <v>131</v>
      </c>
      <c r="B1010" s="1" t="s">
        <v>2676</v>
      </c>
      <c r="C1010" s="1">
        <v>420.0</v>
      </c>
      <c r="D1010" s="1">
        <v>47.0</v>
      </c>
      <c r="E1010" s="1">
        <v>467.0</v>
      </c>
      <c r="F1010" s="1" t="s">
        <v>2677</v>
      </c>
      <c r="G1010" s="1" t="s">
        <v>2677</v>
      </c>
      <c r="H1010" s="1" t="s">
        <v>269</v>
      </c>
      <c r="I1010" s="1" t="s">
        <v>2275</v>
      </c>
      <c r="J1010" s="1" t="s">
        <v>2559</v>
      </c>
      <c r="K1010" s="1" t="s">
        <v>2277</v>
      </c>
      <c r="L1010" s="1"/>
      <c r="M1010" s="1" t="s">
        <v>2667</v>
      </c>
      <c r="N1010" s="6">
        <f>IFERROR(__xludf.DUMMYFUNCTION("IF(REGEXMATCH(A1010, ""^00-""), 0, IF(AND(EQ(F1010, """"), EQ(G1010, """")), 1, 0))"),0.0)</f>
        <v>0</v>
      </c>
      <c r="O1010" s="6">
        <f>IFERROR(__xludf.DUMMYFUNCTION("IF(REGEXMATCH(A1010, ""^00-""), 0, IF(AND(NE(F1010, """"), EQ(G1010, """")), 1, 0))"),0.0)</f>
        <v>0</v>
      </c>
      <c r="P1010" s="6">
        <f>IFERROR(__xludf.DUMMYFUNCTION("IF(REGEXMATCH(A1010, ""^00-""), 0, IF(AND(EQ(F1010, """"), NE(G1010, """")), 1, 0))"),0.0)</f>
        <v>0</v>
      </c>
      <c r="Q1010" s="6">
        <f>IFERROR(__xludf.DUMMYFUNCTION("IF(REGEXMATCH(A1010, ""^00-""), 0, IF(AND(NE(F1010, """"), NE(G1010, """")), 1, 0))"),1.0)</f>
        <v>1</v>
      </c>
      <c r="R1010" s="6">
        <f t="shared" si="1"/>
        <v>1</v>
      </c>
    </row>
    <row r="1011">
      <c r="A1011" s="1" t="s">
        <v>131</v>
      </c>
      <c r="B1011" s="1" t="s">
        <v>2678</v>
      </c>
      <c r="C1011" s="1">
        <v>424.0</v>
      </c>
      <c r="D1011" s="1">
        <v>43.0</v>
      </c>
      <c r="E1011" s="1">
        <v>467.0</v>
      </c>
      <c r="F1011" s="1" t="s">
        <v>2679</v>
      </c>
      <c r="G1011" s="1" t="s">
        <v>2679</v>
      </c>
      <c r="H1011" s="1" t="s">
        <v>269</v>
      </c>
      <c r="I1011" s="1" t="s">
        <v>2275</v>
      </c>
      <c r="J1011" s="1" t="s">
        <v>2559</v>
      </c>
      <c r="K1011" s="1" t="s">
        <v>2277</v>
      </c>
      <c r="L1011" s="1"/>
      <c r="M1011" s="1" t="s">
        <v>2680</v>
      </c>
      <c r="N1011" s="6">
        <f>IFERROR(__xludf.DUMMYFUNCTION("IF(REGEXMATCH(A1011, ""^00-""), 0, IF(AND(EQ(F1011, """"), EQ(G1011, """")), 1, 0))"),0.0)</f>
        <v>0</v>
      </c>
      <c r="O1011" s="6">
        <f>IFERROR(__xludf.DUMMYFUNCTION("IF(REGEXMATCH(A1011, ""^00-""), 0, IF(AND(NE(F1011, """"), EQ(G1011, """")), 1, 0))"),0.0)</f>
        <v>0</v>
      </c>
      <c r="P1011" s="6">
        <f>IFERROR(__xludf.DUMMYFUNCTION("IF(REGEXMATCH(A1011, ""^00-""), 0, IF(AND(EQ(F1011, """"), NE(G1011, """")), 1, 0))"),0.0)</f>
        <v>0</v>
      </c>
      <c r="Q1011" s="6">
        <f>IFERROR(__xludf.DUMMYFUNCTION("IF(REGEXMATCH(A1011, ""^00-""), 0, IF(AND(NE(F1011, """"), NE(G1011, """")), 1, 0))"),1.0)</f>
        <v>1</v>
      </c>
      <c r="R1011" s="6">
        <f t="shared" si="1"/>
        <v>1</v>
      </c>
    </row>
    <row r="1012">
      <c r="A1012" s="1" t="s">
        <v>131</v>
      </c>
      <c r="B1012" s="1" t="s">
        <v>2681</v>
      </c>
      <c r="C1012" s="1">
        <v>424.0</v>
      </c>
      <c r="D1012" s="1">
        <v>43.0</v>
      </c>
      <c r="E1012" s="1">
        <v>467.0</v>
      </c>
      <c r="F1012" s="1" t="s">
        <v>2682</v>
      </c>
      <c r="G1012" s="1" t="s">
        <v>2682</v>
      </c>
      <c r="H1012" s="1" t="s">
        <v>269</v>
      </c>
      <c r="I1012" s="1" t="s">
        <v>2275</v>
      </c>
      <c r="J1012" s="1" t="s">
        <v>2559</v>
      </c>
      <c r="K1012" s="1" t="s">
        <v>2277</v>
      </c>
      <c r="L1012" s="1"/>
      <c r="M1012" s="1" t="s">
        <v>2680</v>
      </c>
      <c r="N1012" s="6">
        <f>IFERROR(__xludf.DUMMYFUNCTION("IF(REGEXMATCH(A1012, ""^00-""), 0, IF(AND(EQ(F1012, """"), EQ(G1012, """")), 1, 0))"),0.0)</f>
        <v>0</v>
      </c>
      <c r="O1012" s="6">
        <f>IFERROR(__xludf.DUMMYFUNCTION("IF(REGEXMATCH(A1012, ""^00-""), 0, IF(AND(NE(F1012, """"), EQ(G1012, """")), 1, 0))"),0.0)</f>
        <v>0</v>
      </c>
      <c r="P1012" s="6">
        <f>IFERROR(__xludf.DUMMYFUNCTION("IF(REGEXMATCH(A1012, ""^00-""), 0, IF(AND(EQ(F1012, """"), NE(G1012, """")), 1, 0))"),0.0)</f>
        <v>0</v>
      </c>
      <c r="Q1012" s="6">
        <f>IFERROR(__xludf.DUMMYFUNCTION("IF(REGEXMATCH(A1012, ""^00-""), 0, IF(AND(NE(F1012, """"), NE(G1012, """")), 1, 0))"),1.0)</f>
        <v>1</v>
      </c>
      <c r="R1012" s="6">
        <f t="shared" si="1"/>
        <v>1</v>
      </c>
    </row>
    <row r="1013">
      <c r="A1013" s="1" t="s">
        <v>131</v>
      </c>
      <c r="B1013" s="1" t="s">
        <v>2683</v>
      </c>
      <c r="C1013" s="1">
        <v>425.0</v>
      </c>
      <c r="D1013" s="1">
        <v>42.0</v>
      </c>
      <c r="E1013" s="1">
        <v>467.0</v>
      </c>
      <c r="F1013" s="1" t="s">
        <v>2684</v>
      </c>
      <c r="G1013" s="1" t="s">
        <v>2684</v>
      </c>
      <c r="H1013" s="1" t="s">
        <v>235</v>
      </c>
      <c r="I1013" s="1" t="s">
        <v>2275</v>
      </c>
      <c r="J1013" s="1" t="s">
        <v>2559</v>
      </c>
      <c r="K1013" s="1" t="s">
        <v>2277</v>
      </c>
      <c r="L1013" s="1"/>
      <c r="M1013" s="1" t="s">
        <v>2685</v>
      </c>
      <c r="N1013" s="6">
        <f>IFERROR(__xludf.DUMMYFUNCTION("IF(REGEXMATCH(A1013, ""^00-""), 0, IF(AND(EQ(F1013, """"), EQ(G1013, """")), 1, 0))"),0.0)</f>
        <v>0</v>
      </c>
      <c r="O1013" s="6">
        <f>IFERROR(__xludf.DUMMYFUNCTION("IF(REGEXMATCH(A1013, ""^00-""), 0, IF(AND(NE(F1013, """"), EQ(G1013, """")), 1, 0))"),0.0)</f>
        <v>0</v>
      </c>
      <c r="P1013" s="6">
        <f>IFERROR(__xludf.DUMMYFUNCTION("IF(REGEXMATCH(A1013, ""^00-""), 0, IF(AND(EQ(F1013, """"), NE(G1013, """")), 1, 0))"),0.0)</f>
        <v>0</v>
      </c>
      <c r="Q1013" s="6">
        <f>IFERROR(__xludf.DUMMYFUNCTION("IF(REGEXMATCH(A1013, ""^00-""), 0, IF(AND(NE(F1013, """"), NE(G1013, """")), 1, 0))"),1.0)</f>
        <v>1</v>
      </c>
      <c r="R1013" s="6">
        <f t="shared" si="1"/>
        <v>1</v>
      </c>
    </row>
    <row r="1014">
      <c r="A1014" s="1" t="s">
        <v>131</v>
      </c>
      <c r="B1014" s="1" t="s">
        <v>2686</v>
      </c>
      <c r="C1014" s="1">
        <v>425.0</v>
      </c>
      <c r="D1014" s="1">
        <v>42.0</v>
      </c>
      <c r="E1014" s="1">
        <v>467.0</v>
      </c>
      <c r="F1014" s="1" t="s">
        <v>2687</v>
      </c>
      <c r="G1014" s="1" t="s">
        <v>2687</v>
      </c>
      <c r="H1014" s="1" t="s">
        <v>235</v>
      </c>
      <c r="I1014" s="1" t="s">
        <v>2275</v>
      </c>
      <c r="J1014" s="1" t="s">
        <v>2559</v>
      </c>
      <c r="K1014" s="1" t="s">
        <v>2277</v>
      </c>
      <c r="L1014" s="1"/>
      <c r="M1014" s="1" t="s">
        <v>2685</v>
      </c>
      <c r="N1014" s="6">
        <f>IFERROR(__xludf.DUMMYFUNCTION("IF(REGEXMATCH(A1014, ""^00-""), 0, IF(AND(EQ(F1014, """"), EQ(G1014, """")), 1, 0))"),0.0)</f>
        <v>0</v>
      </c>
      <c r="O1014" s="6">
        <f>IFERROR(__xludf.DUMMYFUNCTION("IF(REGEXMATCH(A1014, ""^00-""), 0, IF(AND(NE(F1014, """"), EQ(G1014, """")), 1, 0))"),0.0)</f>
        <v>0</v>
      </c>
      <c r="P1014" s="6">
        <f>IFERROR(__xludf.DUMMYFUNCTION("IF(REGEXMATCH(A1014, ""^00-""), 0, IF(AND(EQ(F1014, """"), NE(G1014, """")), 1, 0))"),0.0)</f>
        <v>0</v>
      </c>
      <c r="Q1014" s="6">
        <f>IFERROR(__xludf.DUMMYFUNCTION("IF(REGEXMATCH(A1014, ""^00-""), 0, IF(AND(NE(F1014, """"), NE(G1014, """")), 1, 0))"),1.0)</f>
        <v>1</v>
      </c>
      <c r="R1014" s="6">
        <f t="shared" si="1"/>
        <v>1</v>
      </c>
    </row>
    <row r="1015">
      <c r="A1015" s="1" t="s">
        <v>131</v>
      </c>
      <c r="B1015" s="1" t="s">
        <v>2688</v>
      </c>
      <c r="C1015" s="1">
        <v>426.0</v>
      </c>
      <c r="D1015" s="1">
        <v>41.0</v>
      </c>
      <c r="E1015" s="1">
        <v>467.0</v>
      </c>
      <c r="F1015" s="1" t="s">
        <v>2689</v>
      </c>
      <c r="G1015" s="1" t="s">
        <v>2689</v>
      </c>
      <c r="H1015" s="1" t="s">
        <v>269</v>
      </c>
      <c r="I1015" s="1" t="s">
        <v>2275</v>
      </c>
      <c r="J1015" s="1" t="s">
        <v>2559</v>
      </c>
      <c r="K1015" s="1" t="s">
        <v>2277</v>
      </c>
      <c r="L1015" s="1"/>
      <c r="M1015" s="1" t="s">
        <v>2688</v>
      </c>
      <c r="N1015" s="6">
        <f>IFERROR(__xludf.DUMMYFUNCTION("IF(REGEXMATCH(A1015, ""^00-""), 0, IF(AND(EQ(F1015, """"), EQ(G1015, """")), 1, 0))"),0.0)</f>
        <v>0</v>
      </c>
      <c r="O1015" s="6">
        <f>IFERROR(__xludf.DUMMYFUNCTION("IF(REGEXMATCH(A1015, ""^00-""), 0, IF(AND(NE(F1015, """"), EQ(G1015, """")), 1, 0))"),0.0)</f>
        <v>0</v>
      </c>
      <c r="P1015" s="6">
        <f>IFERROR(__xludf.DUMMYFUNCTION("IF(REGEXMATCH(A1015, ""^00-""), 0, IF(AND(EQ(F1015, """"), NE(G1015, """")), 1, 0))"),0.0)</f>
        <v>0</v>
      </c>
      <c r="Q1015" s="6">
        <f>IFERROR(__xludf.DUMMYFUNCTION("IF(REGEXMATCH(A1015, ""^00-""), 0, IF(AND(NE(F1015, """"), NE(G1015, """")), 1, 0))"),1.0)</f>
        <v>1</v>
      </c>
      <c r="R1015" s="6">
        <f t="shared" si="1"/>
        <v>1</v>
      </c>
    </row>
    <row r="1016">
      <c r="A1016" s="1" t="s">
        <v>131</v>
      </c>
      <c r="B1016" s="1" t="s">
        <v>2690</v>
      </c>
      <c r="C1016" s="1">
        <v>426.0</v>
      </c>
      <c r="D1016" s="1">
        <v>41.0</v>
      </c>
      <c r="E1016" s="1">
        <v>467.0</v>
      </c>
      <c r="F1016" s="1" t="s">
        <v>2691</v>
      </c>
      <c r="G1016" s="1" t="s">
        <v>2691</v>
      </c>
      <c r="H1016" s="1" t="s">
        <v>269</v>
      </c>
      <c r="I1016" s="1" t="s">
        <v>2275</v>
      </c>
      <c r="J1016" s="1" t="s">
        <v>2559</v>
      </c>
      <c r="K1016" s="1" t="s">
        <v>2277</v>
      </c>
      <c r="L1016" s="1"/>
      <c r="M1016" s="1" t="s">
        <v>2690</v>
      </c>
      <c r="N1016" s="6">
        <f>IFERROR(__xludf.DUMMYFUNCTION("IF(REGEXMATCH(A1016, ""^00-""), 0, IF(AND(EQ(F1016, """"), EQ(G1016, """")), 1, 0))"),0.0)</f>
        <v>0</v>
      </c>
      <c r="O1016" s="6">
        <f>IFERROR(__xludf.DUMMYFUNCTION("IF(REGEXMATCH(A1016, ""^00-""), 0, IF(AND(NE(F1016, """"), EQ(G1016, """")), 1, 0))"),0.0)</f>
        <v>0</v>
      </c>
      <c r="P1016" s="6">
        <f>IFERROR(__xludf.DUMMYFUNCTION("IF(REGEXMATCH(A1016, ""^00-""), 0, IF(AND(EQ(F1016, """"), NE(G1016, """")), 1, 0))"),0.0)</f>
        <v>0</v>
      </c>
      <c r="Q1016" s="6">
        <f>IFERROR(__xludf.DUMMYFUNCTION("IF(REGEXMATCH(A1016, ""^00-""), 0, IF(AND(NE(F1016, """"), NE(G1016, """")), 1, 0))"),1.0)</f>
        <v>1</v>
      </c>
      <c r="R1016" s="6">
        <f t="shared" si="1"/>
        <v>1</v>
      </c>
    </row>
    <row r="1017">
      <c r="A1017" s="1" t="s">
        <v>131</v>
      </c>
      <c r="B1017" s="1" t="s">
        <v>2692</v>
      </c>
      <c r="C1017" s="1">
        <v>426.0</v>
      </c>
      <c r="D1017" s="1">
        <v>41.0</v>
      </c>
      <c r="E1017" s="1">
        <v>467.0</v>
      </c>
      <c r="F1017" s="1" t="s">
        <v>2693</v>
      </c>
      <c r="G1017" s="1" t="s">
        <v>2693</v>
      </c>
      <c r="H1017" s="1" t="s">
        <v>269</v>
      </c>
      <c r="I1017" s="1" t="s">
        <v>2275</v>
      </c>
      <c r="J1017" s="1" t="s">
        <v>2559</v>
      </c>
      <c r="K1017" s="1" t="s">
        <v>2277</v>
      </c>
      <c r="L1017" s="1"/>
      <c r="M1017" s="1" t="s">
        <v>2692</v>
      </c>
      <c r="N1017" s="6">
        <f>IFERROR(__xludf.DUMMYFUNCTION("IF(REGEXMATCH(A1017, ""^00-""), 0, IF(AND(EQ(F1017, """"), EQ(G1017, """")), 1, 0))"),0.0)</f>
        <v>0</v>
      </c>
      <c r="O1017" s="6">
        <f>IFERROR(__xludf.DUMMYFUNCTION("IF(REGEXMATCH(A1017, ""^00-""), 0, IF(AND(NE(F1017, """"), EQ(G1017, """")), 1, 0))"),0.0)</f>
        <v>0</v>
      </c>
      <c r="P1017" s="6">
        <f>IFERROR(__xludf.DUMMYFUNCTION("IF(REGEXMATCH(A1017, ""^00-""), 0, IF(AND(EQ(F1017, """"), NE(G1017, """")), 1, 0))"),0.0)</f>
        <v>0</v>
      </c>
      <c r="Q1017" s="6">
        <f>IFERROR(__xludf.DUMMYFUNCTION("IF(REGEXMATCH(A1017, ""^00-""), 0, IF(AND(NE(F1017, """"), NE(G1017, """")), 1, 0))"),1.0)</f>
        <v>1</v>
      </c>
      <c r="R1017" s="6">
        <f t="shared" si="1"/>
        <v>1</v>
      </c>
    </row>
    <row r="1018">
      <c r="A1018" s="1" t="s">
        <v>131</v>
      </c>
      <c r="B1018" s="1" t="s">
        <v>2694</v>
      </c>
      <c r="C1018" s="1">
        <v>426.0</v>
      </c>
      <c r="D1018" s="1">
        <v>41.0</v>
      </c>
      <c r="E1018" s="1">
        <v>467.0</v>
      </c>
      <c r="F1018" s="1" t="s">
        <v>2695</v>
      </c>
      <c r="G1018" s="1" t="s">
        <v>2695</v>
      </c>
      <c r="H1018" s="1" t="s">
        <v>269</v>
      </c>
      <c r="I1018" s="1" t="s">
        <v>2275</v>
      </c>
      <c r="J1018" s="1" t="s">
        <v>2559</v>
      </c>
      <c r="K1018" s="1" t="s">
        <v>2277</v>
      </c>
      <c r="L1018" s="1"/>
      <c r="M1018" s="1" t="s">
        <v>2694</v>
      </c>
      <c r="N1018" s="6">
        <f>IFERROR(__xludf.DUMMYFUNCTION("IF(REGEXMATCH(A1018, ""^00-""), 0, IF(AND(EQ(F1018, """"), EQ(G1018, """")), 1, 0))"),0.0)</f>
        <v>0</v>
      </c>
      <c r="O1018" s="6">
        <f>IFERROR(__xludf.DUMMYFUNCTION("IF(REGEXMATCH(A1018, ""^00-""), 0, IF(AND(NE(F1018, """"), EQ(G1018, """")), 1, 0))"),0.0)</f>
        <v>0</v>
      </c>
      <c r="P1018" s="6">
        <f>IFERROR(__xludf.DUMMYFUNCTION("IF(REGEXMATCH(A1018, ""^00-""), 0, IF(AND(EQ(F1018, """"), NE(G1018, """")), 1, 0))"),0.0)</f>
        <v>0</v>
      </c>
      <c r="Q1018" s="6">
        <f>IFERROR(__xludf.DUMMYFUNCTION("IF(REGEXMATCH(A1018, ""^00-""), 0, IF(AND(NE(F1018, """"), NE(G1018, """")), 1, 0))"),1.0)</f>
        <v>1</v>
      </c>
      <c r="R1018" s="6">
        <f t="shared" si="1"/>
        <v>1</v>
      </c>
    </row>
    <row r="1019">
      <c r="A1019" s="1" t="s">
        <v>131</v>
      </c>
      <c r="B1019" s="1" t="s">
        <v>2696</v>
      </c>
      <c r="C1019" s="1">
        <v>426.0</v>
      </c>
      <c r="D1019" s="1">
        <v>41.0</v>
      </c>
      <c r="E1019" s="1">
        <v>467.0</v>
      </c>
      <c r="F1019" s="1" t="s">
        <v>2697</v>
      </c>
      <c r="G1019" s="1" t="s">
        <v>2697</v>
      </c>
      <c r="H1019" s="1" t="s">
        <v>269</v>
      </c>
      <c r="I1019" s="1" t="s">
        <v>2275</v>
      </c>
      <c r="J1019" s="1" t="s">
        <v>2559</v>
      </c>
      <c r="K1019" s="1" t="s">
        <v>2277</v>
      </c>
      <c r="L1019" s="1"/>
      <c r="M1019" s="1" t="s">
        <v>2698</v>
      </c>
      <c r="N1019" s="6">
        <f>IFERROR(__xludf.DUMMYFUNCTION("IF(REGEXMATCH(A1019, ""^00-""), 0, IF(AND(EQ(F1019, """"), EQ(G1019, """")), 1, 0))"),0.0)</f>
        <v>0</v>
      </c>
      <c r="O1019" s="6">
        <f>IFERROR(__xludf.DUMMYFUNCTION("IF(REGEXMATCH(A1019, ""^00-""), 0, IF(AND(NE(F1019, """"), EQ(G1019, """")), 1, 0))"),0.0)</f>
        <v>0</v>
      </c>
      <c r="P1019" s="6">
        <f>IFERROR(__xludf.DUMMYFUNCTION("IF(REGEXMATCH(A1019, ""^00-""), 0, IF(AND(EQ(F1019, """"), NE(G1019, """")), 1, 0))"),0.0)</f>
        <v>0</v>
      </c>
      <c r="Q1019" s="6">
        <f>IFERROR(__xludf.DUMMYFUNCTION("IF(REGEXMATCH(A1019, ""^00-""), 0, IF(AND(NE(F1019, """"), NE(G1019, """")), 1, 0))"),1.0)</f>
        <v>1</v>
      </c>
      <c r="R1019" s="6">
        <f t="shared" si="1"/>
        <v>1</v>
      </c>
    </row>
    <row r="1020">
      <c r="A1020" s="1" t="s">
        <v>131</v>
      </c>
      <c r="B1020" s="1" t="s">
        <v>2699</v>
      </c>
      <c r="C1020" s="1">
        <v>426.0</v>
      </c>
      <c r="D1020" s="1">
        <v>41.0</v>
      </c>
      <c r="E1020" s="1">
        <v>467.0</v>
      </c>
      <c r="F1020" s="1" t="s">
        <v>2700</v>
      </c>
      <c r="G1020" s="1" t="s">
        <v>2700</v>
      </c>
      <c r="H1020" s="1" t="s">
        <v>269</v>
      </c>
      <c r="I1020" s="1" t="s">
        <v>2275</v>
      </c>
      <c r="J1020" s="1" t="s">
        <v>2559</v>
      </c>
      <c r="K1020" s="1" t="s">
        <v>2277</v>
      </c>
      <c r="L1020" s="1"/>
      <c r="M1020" s="1" t="s">
        <v>2698</v>
      </c>
      <c r="N1020" s="6">
        <f>IFERROR(__xludf.DUMMYFUNCTION("IF(REGEXMATCH(A1020, ""^00-""), 0, IF(AND(EQ(F1020, """"), EQ(G1020, """")), 1, 0))"),0.0)</f>
        <v>0</v>
      </c>
      <c r="O1020" s="6">
        <f>IFERROR(__xludf.DUMMYFUNCTION("IF(REGEXMATCH(A1020, ""^00-""), 0, IF(AND(NE(F1020, """"), EQ(G1020, """")), 1, 0))"),0.0)</f>
        <v>0</v>
      </c>
      <c r="P1020" s="6">
        <f>IFERROR(__xludf.DUMMYFUNCTION("IF(REGEXMATCH(A1020, ""^00-""), 0, IF(AND(EQ(F1020, """"), NE(G1020, """")), 1, 0))"),0.0)</f>
        <v>0</v>
      </c>
      <c r="Q1020" s="6">
        <f>IFERROR(__xludf.DUMMYFUNCTION("IF(REGEXMATCH(A1020, ""^00-""), 0, IF(AND(NE(F1020, """"), NE(G1020, """")), 1, 0))"),1.0)</f>
        <v>1</v>
      </c>
      <c r="R1020" s="6">
        <f t="shared" si="1"/>
        <v>1</v>
      </c>
    </row>
    <row r="1021">
      <c r="A1021" s="1" t="s">
        <v>131</v>
      </c>
      <c r="B1021" s="1" t="s">
        <v>2701</v>
      </c>
      <c r="C1021" s="1">
        <v>426.0</v>
      </c>
      <c r="D1021" s="1">
        <v>41.0</v>
      </c>
      <c r="E1021" s="1">
        <v>467.0</v>
      </c>
      <c r="F1021" s="1" t="s">
        <v>2702</v>
      </c>
      <c r="G1021" s="1" t="s">
        <v>2702</v>
      </c>
      <c r="H1021" s="1" t="s">
        <v>190</v>
      </c>
      <c r="I1021" s="1" t="s">
        <v>2275</v>
      </c>
      <c r="J1021" s="1" t="s">
        <v>2559</v>
      </c>
      <c r="K1021" s="1" t="s">
        <v>2277</v>
      </c>
      <c r="L1021" s="1"/>
      <c r="M1021" s="1" t="s">
        <v>191</v>
      </c>
      <c r="N1021" s="6">
        <f>IFERROR(__xludf.DUMMYFUNCTION("IF(REGEXMATCH(A1021, ""^00-""), 0, IF(AND(EQ(F1021, """"), EQ(G1021, """")), 1, 0))"),0.0)</f>
        <v>0</v>
      </c>
      <c r="O1021" s="6">
        <f>IFERROR(__xludf.DUMMYFUNCTION("IF(REGEXMATCH(A1021, ""^00-""), 0, IF(AND(NE(F1021, """"), EQ(G1021, """")), 1, 0))"),0.0)</f>
        <v>0</v>
      </c>
      <c r="P1021" s="6">
        <f>IFERROR(__xludf.DUMMYFUNCTION("IF(REGEXMATCH(A1021, ""^00-""), 0, IF(AND(EQ(F1021, """"), NE(G1021, """")), 1, 0))"),0.0)</f>
        <v>0</v>
      </c>
      <c r="Q1021" s="6">
        <f>IFERROR(__xludf.DUMMYFUNCTION("IF(REGEXMATCH(A1021, ""^00-""), 0, IF(AND(NE(F1021, """"), NE(G1021, """")), 1, 0))"),1.0)</f>
        <v>1</v>
      </c>
      <c r="R1021" s="6">
        <f t="shared" si="1"/>
        <v>1</v>
      </c>
    </row>
    <row r="1022">
      <c r="A1022" s="1" t="s">
        <v>131</v>
      </c>
      <c r="B1022" s="1" t="s">
        <v>2703</v>
      </c>
      <c r="C1022" s="1">
        <v>85.0</v>
      </c>
      <c r="D1022" s="1">
        <v>382.0</v>
      </c>
      <c r="E1022" s="1">
        <v>467.0</v>
      </c>
      <c r="F1022" s="1" t="s">
        <v>2704</v>
      </c>
      <c r="G1022" s="1" t="s">
        <v>2704</v>
      </c>
      <c r="H1022" s="1" t="s">
        <v>190</v>
      </c>
      <c r="I1022" s="1" t="s">
        <v>2275</v>
      </c>
      <c r="J1022" s="1" t="s">
        <v>2559</v>
      </c>
      <c r="K1022" s="1" t="s">
        <v>2277</v>
      </c>
      <c r="L1022" s="1"/>
      <c r="M1022" s="1" t="s">
        <v>191</v>
      </c>
      <c r="N1022" s="6">
        <f>IFERROR(__xludf.DUMMYFUNCTION("IF(REGEXMATCH(A1022, ""^00-""), 0, IF(AND(EQ(F1022, """"), EQ(G1022, """")), 1, 0))"),0.0)</f>
        <v>0</v>
      </c>
      <c r="O1022" s="6">
        <f>IFERROR(__xludf.DUMMYFUNCTION("IF(REGEXMATCH(A1022, ""^00-""), 0, IF(AND(NE(F1022, """"), EQ(G1022, """")), 1, 0))"),0.0)</f>
        <v>0</v>
      </c>
      <c r="P1022" s="6">
        <f>IFERROR(__xludf.DUMMYFUNCTION("IF(REGEXMATCH(A1022, ""^00-""), 0, IF(AND(EQ(F1022, """"), NE(G1022, """")), 1, 0))"),0.0)</f>
        <v>0</v>
      </c>
      <c r="Q1022" s="6">
        <f>IFERROR(__xludf.DUMMYFUNCTION("IF(REGEXMATCH(A1022, ""^00-""), 0, IF(AND(NE(F1022, """"), NE(G1022, """")), 1, 0))"),1.0)</f>
        <v>1</v>
      </c>
      <c r="R1022" s="6">
        <f t="shared" si="1"/>
        <v>1</v>
      </c>
    </row>
    <row r="1023">
      <c r="A1023" s="1" t="s">
        <v>131</v>
      </c>
      <c r="B1023" s="1" t="s">
        <v>2705</v>
      </c>
      <c r="C1023" s="1">
        <v>85.0</v>
      </c>
      <c r="D1023" s="1">
        <v>382.0</v>
      </c>
      <c r="E1023" s="1">
        <v>467.0</v>
      </c>
      <c r="F1023" s="1" t="s">
        <v>2706</v>
      </c>
      <c r="G1023" s="1" t="s">
        <v>2706</v>
      </c>
      <c r="H1023" s="1" t="s">
        <v>190</v>
      </c>
      <c r="I1023" s="1" t="s">
        <v>2275</v>
      </c>
      <c r="J1023" s="1" t="s">
        <v>2559</v>
      </c>
      <c r="K1023" s="1" t="s">
        <v>2277</v>
      </c>
      <c r="L1023" s="1"/>
      <c r="M1023" s="1" t="s">
        <v>191</v>
      </c>
      <c r="N1023" s="6">
        <f>IFERROR(__xludf.DUMMYFUNCTION("IF(REGEXMATCH(A1023, ""^00-""), 0, IF(AND(EQ(F1023, """"), EQ(G1023, """")), 1, 0))"),0.0)</f>
        <v>0</v>
      </c>
      <c r="O1023" s="6">
        <f>IFERROR(__xludf.DUMMYFUNCTION("IF(REGEXMATCH(A1023, ""^00-""), 0, IF(AND(NE(F1023, """"), EQ(G1023, """")), 1, 0))"),0.0)</f>
        <v>0</v>
      </c>
      <c r="P1023" s="6">
        <f>IFERROR(__xludf.DUMMYFUNCTION("IF(REGEXMATCH(A1023, ""^00-""), 0, IF(AND(EQ(F1023, """"), NE(G1023, """")), 1, 0))"),0.0)</f>
        <v>0</v>
      </c>
      <c r="Q1023" s="6">
        <f>IFERROR(__xludf.DUMMYFUNCTION("IF(REGEXMATCH(A1023, ""^00-""), 0, IF(AND(NE(F1023, """"), NE(G1023, """")), 1, 0))"),1.0)</f>
        <v>1</v>
      </c>
      <c r="R1023" s="6">
        <f t="shared" si="1"/>
        <v>1</v>
      </c>
    </row>
    <row r="1024">
      <c r="A1024" s="1" t="s">
        <v>131</v>
      </c>
      <c r="B1024" s="1" t="s">
        <v>2707</v>
      </c>
      <c r="C1024" s="1">
        <v>85.0</v>
      </c>
      <c r="D1024" s="1">
        <v>382.0</v>
      </c>
      <c r="E1024" s="1">
        <v>467.0</v>
      </c>
      <c r="F1024" s="1" t="s">
        <v>2708</v>
      </c>
      <c r="G1024" s="1" t="s">
        <v>2708</v>
      </c>
      <c r="H1024" s="1" t="s">
        <v>190</v>
      </c>
      <c r="I1024" s="1" t="s">
        <v>2275</v>
      </c>
      <c r="J1024" s="1" t="s">
        <v>2559</v>
      </c>
      <c r="K1024" s="1" t="s">
        <v>2277</v>
      </c>
      <c r="L1024" s="1"/>
      <c r="M1024" s="1" t="s">
        <v>191</v>
      </c>
      <c r="N1024" s="6">
        <f>IFERROR(__xludf.DUMMYFUNCTION("IF(REGEXMATCH(A1024, ""^00-""), 0, IF(AND(EQ(F1024, """"), EQ(G1024, """")), 1, 0))"),0.0)</f>
        <v>0</v>
      </c>
      <c r="O1024" s="6">
        <f>IFERROR(__xludf.DUMMYFUNCTION("IF(REGEXMATCH(A1024, ""^00-""), 0, IF(AND(NE(F1024, """"), EQ(G1024, """")), 1, 0))"),0.0)</f>
        <v>0</v>
      </c>
      <c r="P1024" s="6">
        <f>IFERROR(__xludf.DUMMYFUNCTION("IF(REGEXMATCH(A1024, ""^00-""), 0, IF(AND(EQ(F1024, """"), NE(G1024, """")), 1, 0))"),0.0)</f>
        <v>0</v>
      </c>
      <c r="Q1024" s="6">
        <f>IFERROR(__xludf.DUMMYFUNCTION("IF(REGEXMATCH(A1024, ""^00-""), 0, IF(AND(NE(F1024, """"), NE(G1024, """")), 1, 0))"),1.0)</f>
        <v>1</v>
      </c>
      <c r="R1024" s="6">
        <f t="shared" si="1"/>
        <v>1</v>
      </c>
    </row>
    <row r="1025">
      <c r="A1025" s="1" t="s">
        <v>131</v>
      </c>
      <c r="B1025" s="1" t="s">
        <v>2709</v>
      </c>
      <c r="C1025" s="1">
        <v>30.0</v>
      </c>
      <c r="D1025" s="1">
        <v>437.0</v>
      </c>
      <c r="E1025" s="1">
        <v>467.0</v>
      </c>
      <c r="F1025" s="1" t="s">
        <v>2710</v>
      </c>
      <c r="G1025" s="1" t="s">
        <v>2710</v>
      </c>
      <c r="H1025" s="1" t="s">
        <v>171</v>
      </c>
      <c r="I1025" s="1" t="s">
        <v>2275</v>
      </c>
      <c r="J1025" s="1" t="s">
        <v>2559</v>
      </c>
      <c r="K1025" s="1" t="s">
        <v>2277</v>
      </c>
      <c r="L1025" s="1"/>
      <c r="M1025" s="1" t="s">
        <v>171</v>
      </c>
      <c r="N1025" s="6">
        <f>IFERROR(__xludf.DUMMYFUNCTION("IF(REGEXMATCH(A1025, ""^00-""), 0, IF(AND(EQ(F1025, """"), EQ(G1025, """")), 1, 0))"),0.0)</f>
        <v>0</v>
      </c>
      <c r="O1025" s="6">
        <f>IFERROR(__xludf.DUMMYFUNCTION("IF(REGEXMATCH(A1025, ""^00-""), 0, IF(AND(NE(F1025, """"), EQ(G1025, """")), 1, 0))"),0.0)</f>
        <v>0</v>
      </c>
      <c r="P1025" s="6">
        <f>IFERROR(__xludf.DUMMYFUNCTION("IF(REGEXMATCH(A1025, ""^00-""), 0, IF(AND(EQ(F1025, """"), NE(G1025, """")), 1, 0))"),0.0)</f>
        <v>0</v>
      </c>
      <c r="Q1025" s="6">
        <f>IFERROR(__xludf.DUMMYFUNCTION("IF(REGEXMATCH(A1025, ""^00-""), 0, IF(AND(NE(F1025, """"), NE(G1025, """")), 1, 0))"),1.0)</f>
        <v>1</v>
      </c>
      <c r="R1025" s="6">
        <f t="shared" si="1"/>
        <v>1</v>
      </c>
    </row>
    <row r="1026">
      <c r="A1026" s="1" t="s">
        <v>131</v>
      </c>
      <c r="B1026" s="1" t="s">
        <v>2711</v>
      </c>
      <c r="C1026" s="1">
        <v>87.0</v>
      </c>
      <c r="D1026" s="1">
        <v>380.0</v>
      </c>
      <c r="E1026" s="1">
        <v>467.0</v>
      </c>
      <c r="F1026" s="1" t="s">
        <v>2712</v>
      </c>
      <c r="G1026" s="1" t="s">
        <v>2712</v>
      </c>
      <c r="H1026" s="1" t="s">
        <v>190</v>
      </c>
      <c r="I1026" s="1" t="s">
        <v>2275</v>
      </c>
      <c r="J1026" s="1" t="s">
        <v>2559</v>
      </c>
      <c r="K1026" s="1" t="s">
        <v>2277</v>
      </c>
      <c r="L1026" s="1"/>
      <c r="M1026" s="1" t="s">
        <v>191</v>
      </c>
      <c r="N1026" s="6">
        <f>IFERROR(__xludf.DUMMYFUNCTION("IF(REGEXMATCH(A1026, ""^00-""), 0, IF(AND(EQ(F1026, """"), EQ(G1026, """")), 1, 0))"),0.0)</f>
        <v>0</v>
      </c>
      <c r="O1026" s="6">
        <f>IFERROR(__xludf.DUMMYFUNCTION("IF(REGEXMATCH(A1026, ""^00-""), 0, IF(AND(NE(F1026, """"), EQ(G1026, """")), 1, 0))"),0.0)</f>
        <v>0</v>
      </c>
      <c r="P1026" s="6">
        <f>IFERROR(__xludf.DUMMYFUNCTION("IF(REGEXMATCH(A1026, ""^00-""), 0, IF(AND(EQ(F1026, """"), NE(G1026, """")), 1, 0))"),0.0)</f>
        <v>0</v>
      </c>
      <c r="Q1026" s="6">
        <f>IFERROR(__xludf.DUMMYFUNCTION("IF(REGEXMATCH(A1026, ""^00-""), 0, IF(AND(NE(F1026, """"), NE(G1026, """")), 1, 0))"),1.0)</f>
        <v>1</v>
      </c>
      <c r="R1026" s="6">
        <f t="shared" si="1"/>
        <v>1</v>
      </c>
    </row>
    <row r="1027">
      <c r="A1027" s="1" t="s">
        <v>131</v>
      </c>
      <c r="B1027" s="1" t="s">
        <v>2713</v>
      </c>
      <c r="C1027" s="1">
        <v>87.0</v>
      </c>
      <c r="D1027" s="1">
        <v>380.0</v>
      </c>
      <c r="E1027" s="1">
        <v>467.0</v>
      </c>
      <c r="F1027" s="1" t="s">
        <v>2714</v>
      </c>
      <c r="G1027" s="1" t="s">
        <v>2714</v>
      </c>
      <c r="H1027" s="1" t="s">
        <v>190</v>
      </c>
      <c r="I1027" s="1" t="s">
        <v>2275</v>
      </c>
      <c r="J1027" s="1" t="s">
        <v>2559</v>
      </c>
      <c r="K1027" s="1" t="s">
        <v>2277</v>
      </c>
      <c r="L1027" s="1"/>
      <c r="M1027" s="1" t="s">
        <v>191</v>
      </c>
      <c r="N1027" s="6">
        <f>IFERROR(__xludf.DUMMYFUNCTION("IF(REGEXMATCH(A1027, ""^00-""), 0, IF(AND(EQ(F1027, """"), EQ(G1027, """")), 1, 0))"),0.0)</f>
        <v>0</v>
      </c>
      <c r="O1027" s="6">
        <f>IFERROR(__xludf.DUMMYFUNCTION("IF(REGEXMATCH(A1027, ""^00-""), 0, IF(AND(NE(F1027, """"), EQ(G1027, """")), 1, 0))"),0.0)</f>
        <v>0</v>
      </c>
      <c r="P1027" s="6">
        <f>IFERROR(__xludf.DUMMYFUNCTION("IF(REGEXMATCH(A1027, ""^00-""), 0, IF(AND(EQ(F1027, """"), NE(G1027, """")), 1, 0))"),0.0)</f>
        <v>0</v>
      </c>
      <c r="Q1027" s="6">
        <f>IFERROR(__xludf.DUMMYFUNCTION("IF(REGEXMATCH(A1027, ""^00-""), 0, IF(AND(NE(F1027, """"), NE(G1027, """")), 1, 0))"),1.0)</f>
        <v>1</v>
      </c>
      <c r="R1027" s="6">
        <f t="shared" si="1"/>
        <v>1</v>
      </c>
    </row>
    <row r="1028">
      <c r="A1028" s="1" t="s">
        <v>131</v>
      </c>
      <c r="B1028" s="1" t="s">
        <v>2715</v>
      </c>
      <c r="C1028" s="1">
        <v>55.0</v>
      </c>
      <c r="D1028" s="1">
        <v>412.0</v>
      </c>
      <c r="E1028" s="1">
        <v>467.0</v>
      </c>
      <c r="F1028" s="1" t="s">
        <v>2716</v>
      </c>
      <c r="G1028" s="1" t="s">
        <v>2716</v>
      </c>
      <c r="H1028" s="1" t="s">
        <v>190</v>
      </c>
      <c r="I1028" s="1" t="s">
        <v>2275</v>
      </c>
      <c r="J1028" s="1" t="s">
        <v>2559</v>
      </c>
      <c r="K1028" s="1" t="s">
        <v>2277</v>
      </c>
      <c r="L1028" s="1"/>
      <c r="M1028" s="1" t="s">
        <v>191</v>
      </c>
      <c r="N1028" s="6">
        <f>IFERROR(__xludf.DUMMYFUNCTION("IF(REGEXMATCH(A1028, ""^00-""), 0, IF(AND(EQ(F1028, """"), EQ(G1028, """")), 1, 0))"),0.0)</f>
        <v>0</v>
      </c>
      <c r="O1028" s="6">
        <f>IFERROR(__xludf.DUMMYFUNCTION("IF(REGEXMATCH(A1028, ""^00-""), 0, IF(AND(NE(F1028, """"), EQ(G1028, """")), 1, 0))"),0.0)</f>
        <v>0</v>
      </c>
      <c r="P1028" s="6">
        <f>IFERROR(__xludf.DUMMYFUNCTION("IF(REGEXMATCH(A1028, ""^00-""), 0, IF(AND(EQ(F1028, """"), NE(G1028, """")), 1, 0))"),0.0)</f>
        <v>0</v>
      </c>
      <c r="Q1028" s="6">
        <f>IFERROR(__xludf.DUMMYFUNCTION("IF(REGEXMATCH(A1028, ""^00-""), 0, IF(AND(NE(F1028, """"), NE(G1028, """")), 1, 0))"),1.0)</f>
        <v>1</v>
      </c>
      <c r="R1028" s="6">
        <f t="shared" si="1"/>
        <v>1</v>
      </c>
    </row>
    <row r="1029">
      <c r="A1029" s="1" t="s">
        <v>131</v>
      </c>
      <c r="B1029" s="1" t="s">
        <v>2717</v>
      </c>
      <c r="C1029" s="1">
        <v>87.0</v>
      </c>
      <c r="D1029" s="1">
        <v>380.0</v>
      </c>
      <c r="E1029" s="1">
        <v>467.0</v>
      </c>
      <c r="F1029" s="1" t="s">
        <v>2718</v>
      </c>
      <c r="G1029" s="1" t="s">
        <v>2718</v>
      </c>
      <c r="H1029" s="1" t="s">
        <v>190</v>
      </c>
      <c r="I1029" s="1" t="s">
        <v>2275</v>
      </c>
      <c r="J1029" s="1" t="s">
        <v>2559</v>
      </c>
      <c r="K1029" s="1" t="s">
        <v>2277</v>
      </c>
      <c r="L1029" s="1"/>
      <c r="M1029" s="1" t="s">
        <v>191</v>
      </c>
      <c r="N1029" s="6">
        <f>IFERROR(__xludf.DUMMYFUNCTION("IF(REGEXMATCH(A1029, ""^00-""), 0, IF(AND(EQ(F1029, """"), EQ(G1029, """")), 1, 0))"),0.0)</f>
        <v>0</v>
      </c>
      <c r="O1029" s="6">
        <f>IFERROR(__xludf.DUMMYFUNCTION("IF(REGEXMATCH(A1029, ""^00-""), 0, IF(AND(NE(F1029, """"), EQ(G1029, """")), 1, 0))"),0.0)</f>
        <v>0</v>
      </c>
      <c r="P1029" s="6">
        <f>IFERROR(__xludf.DUMMYFUNCTION("IF(REGEXMATCH(A1029, ""^00-""), 0, IF(AND(EQ(F1029, """"), NE(G1029, """")), 1, 0))"),0.0)</f>
        <v>0</v>
      </c>
      <c r="Q1029" s="6">
        <f>IFERROR(__xludf.DUMMYFUNCTION("IF(REGEXMATCH(A1029, ""^00-""), 0, IF(AND(NE(F1029, """"), NE(G1029, """")), 1, 0))"),1.0)</f>
        <v>1</v>
      </c>
      <c r="R1029" s="6">
        <f t="shared" si="1"/>
        <v>1</v>
      </c>
    </row>
    <row r="1030">
      <c r="A1030" s="1" t="s">
        <v>131</v>
      </c>
      <c r="B1030" s="1" t="s">
        <v>2719</v>
      </c>
      <c r="C1030" s="1">
        <v>32.0</v>
      </c>
      <c r="D1030" s="1">
        <v>435.0</v>
      </c>
      <c r="E1030" s="1">
        <v>467.0</v>
      </c>
      <c r="F1030" s="1" t="s">
        <v>2720</v>
      </c>
      <c r="G1030" s="1"/>
      <c r="H1030" s="1" t="s">
        <v>190</v>
      </c>
      <c r="I1030" s="1" t="s">
        <v>2275</v>
      </c>
      <c r="J1030" s="1" t="s">
        <v>2559</v>
      </c>
      <c r="K1030" s="1" t="s">
        <v>2277</v>
      </c>
      <c r="L1030" s="1"/>
      <c r="M1030" s="1" t="s">
        <v>191</v>
      </c>
      <c r="N1030" s="6">
        <f>IFERROR(__xludf.DUMMYFUNCTION("IF(REGEXMATCH(A1030, ""^00-""), 0, IF(AND(EQ(F1030, """"), EQ(G1030, """")), 1, 0))"),0.0)</f>
        <v>0</v>
      </c>
      <c r="O1030" s="6">
        <f>IFERROR(__xludf.DUMMYFUNCTION("IF(REGEXMATCH(A1030, ""^00-""), 0, IF(AND(NE(F1030, """"), EQ(G1030, """")), 1, 0))"),1.0)</f>
        <v>1</v>
      </c>
      <c r="P1030" s="6">
        <f>IFERROR(__xludf.DUMMYFUNCTION("IF(REGEXMATCH(A1030, ""^00-""), 0, IF(AND(EQ(F1030, """"), NE(G1030, """")), 1, 0))"),0.0)</f>
        <v>0</v>
      </c>
      <c r="Q1030" s="6">
        <f>IFERROR(__xludf.DUMMYFUNCTION("IF(REGEXMATCH(A1030, ""^00-""), 0, IF(AND(NE(F1030, """"), NE(G1030, """")), 1, 0))"),0.0)</f>
        <v>0</v>
      </c>
      <c r="R1030" s="6">
        <f t="shared" si="1"/>
        <v>1</v>
      </c>
    </row>
    <row r="1031">
      <c r="A1031" s="1" t="s">
        <v>131</v>
      </c>
      <c r="B1031" s="1" t="s">
        <v>2721</v>
      </c>
      <c r="C1031" s="1">
        <v>55.0</v>
      </c>
      <c r="D1031" s="1">
        <v>412.0</v>
      </c>
      <c r="E1031" s="1">
        <v>467.0</v>
      </c>
      <c r="F1031" s="1"/>
      <c r="G1031" s="1" t="s">
        <v>2722</v>
      </c>
      <c r="H1031" s="1" t="s">
        <v>190</v>
      </c>
      <c r="I1031" s="1" t="s">
        <v>2275</v>
      </c>
      <c r="J1031" s="1" t="s">
        <v>2559</v>
      </c>
      <c r="K1031" s="1" t="s">
        <v>2277</v>
      </c>
      <c r="L1031" s="1"/>
      <c r="M1031" s="1" t="s">
        <v>191</v>
      </c>
      <c r="N1031" s="6">
        <f>IFERROR(__xludf.DUMMYFUNCTION("IF(REGEXMATCH(A1031, ""^00-""), 0, IF(AND(EQ(F1031, """"), EQ(G1031, """")), 1, 0))"),0.0)</f>
        <v>0</v>
      </c>
      <c r="O1031" s="6">
        <f>IFERROR(__xludf.DUMMYFUNCTION("IF(REGEXMATCH(A1031, ""^00-""), 0, IF(AND(NE(F1031, """"), EQ(G1031, """")), 1, 0))"),0.0)</f>
        <v>0</v>
      </c>
      <c r="P1031" s="6">
        <f>IFERROR(__xludf.DUMMYFUNCTION("IF(REGEXMATCH(A1031, ""^00-""), 0, IF(AND(EQ(F1031, """"), NE(G1031, """")), 1, 0))"),1.0)</f>
        <v>1</v>
      </c>
      <c r="Q1031" s="6">
        <f>IFERROR(__xludf.DUMMYFUNCTION("IF(REGEXMATCH(A1031, ""^00-""), 0, IF(AND(NE(F1031, """"), NE(G1031, """")), 1, 0))"),0.0)</f>
        <v>0</v>
      </c>
      <c r="R1031" s="6">
        <f t="shared" si="1"/>
        <v>1</v>
      </c>
    </row>
    <row r="1032">
      <c r="A1032" s="1" t="s">
        <v>131</v>
      </c>
      <c r="B1032" s="1" t="s">
        <v>2723</v>
      </c>
      <c r="C1032" s="1">
        <v>55.0</v>
      </c>
      <c r="D1032" s="1">
        <v>412.0</v>
      </c>
      <c r="E1032" s="1">
        <v>467.0</v>
      </c>
      <c r="F1032" s="1"/>
      <c r="G1032" s="1" t="s">
        <v>2724</v>
      </c>
      <c r="H1032" s="1" t="s">
        <v>190</v>
      </c>
      <c r="I1032" s="1" t="s">
        <v>2275</v>
      </c>
      <c r="J1032" s="1" t="s">
        <v>2559</v>
      </c>
      <c r="K1032" s="1" t="s">
        <v>2277</v>
      </c>
      <c r="L1032" s="1"/>
      <c r="M1032" s="1" t="s">
        <v>191</v>
      </c>
      <c r="N1032" s="6">
        <f>IFERROR(__xludf.DUMMYFUNCTION("IF(REGEXMATCH(A1032, ""^00-""), 0, IF(AND(EQ(F1032, """"), EQ(G1032, """")), 1, 0))"),0.0)</f>
        <v>0</v>
      </c>
      <c r="O1032" s="6">
        <f>IFERROR(__xludf.DUMMYFUNCTION("IF(REGEXMATCH(A1032, ""^00-""), 0, IF(AND(NE(F1032, """"), EQ(G1032, """")), 1, 0))"),0.0)</f>
        <v>0</v>
      </c>
      <c r="P1032" s="6">
        <f>IFERROR(__xludf.DUMMYFUNCTION("IF(REGEXMATCH(A1032, ""^00-""), 0, IF(AND(EQ(F1032, """"), NE(G1032, """")), 1, 0))"),1.0)</f>
        <v>1</v>
      </c>
      <c r="Q1032" s="6">
        <f>IFERROR(__xludf.DUMMYFUNCTION("IF(REGEXMATCH(A1032, ""^00-""), 0, IF(AND(NE(F1032, """"), NE(G1032, """")), 1, 0))"),0.0)</f>
        <v>0</v>
      </c>
      <c r="R1032" s="6">
        <f t="shared" si="1"/>
        <v>1</v>
      </c>
    </row>
    <row r="1033">
      <c r="A1033" s="1" t="s">
        <v>131</v>
      </c>
      <c r="B1033" s="1" t="s">
        <v>2725</v>
      </c>
      <c r="C1033" s="1">
        <v>32.0</v>
      </c>
      <c r="D1033" s="1">
        <v>435.0</v>
      </c>
      <c r="E1033" s="1">
        <v>467.0</v>
      </c>
      <c r="F1033" s="1" t="s">
        <v>2726</v>
      </c>
      <c r="G1033" s="1"/>
      <c r="H1033" s="1" t="s">
        <v>190</v>
      </c>
      <c r="I1033" s="1" t="s">
        <v>2275</v>
      </c>
      <c r="J1033" s="1" t="s">
        <v>2559</v>
      </c>
      <c r="K1033" s="1" t="s">
        <v>2277</v>
      </c>
      <c r="L1033" s="1"/>
      <c r="M1033" s="1" t="s">
        <v>191</v>
      </c>
      <c r="N1033" s="6">
        <f>IFERROR(__xludf.DUMMYFUNCTION("IF(REGEXMATCH(A1033, ""^00-""), 0, IF(AND(EQ(F1033, """"), EQ(G1033, """")), 1, 0))"),0.0)</f>
        <v>0</v>
      </c>
      <c r="O1033" s="6">
        <f>IFERROR(__xludf.DUMMYFUNCTION("IF(REGEXMATCH(A1033, ""^00-""), 0, IF(AND(NE(F1033, """"), EQ(G1033, """")), 1, 0))"),1.0)</f>
        <v>1</v>
      </c>
      <c r="P1033" s="6">
        <f>IFERROR(__xludf.DUMMYFUNCTION("IF(REGEXMATCH(A1033, ""^00-""), 0, IF(AND(EQ(F1033, """"), NE(G1033, """")), 1, 0))"),0.0)</f>
        <v>0</v>
      </c>
      <c r="Q1033" s="6">
        <f>IFERROR(__xludf.DUMMYFUNCTION("IF(REGEXMATCH(A1033, ""^00-""), 0, IF(AND(NE(F1033, """"), NE(G1033, """")), 1, 0))"),0.0)</f>
        <v>0</v>
      </c>
      <c r="R1033" s="6">
        <f t="shared" si="1"/>
        <v>1</v>
      </c>
    </row>
    <row r="1034">
      <c r="A1034" s="1" t="s">
        <v>131</v>
      </c>
      <c r="B1034" s="1" t="s">
        <v>2727</v>
      </c>
      <c r="C1034" s="1">
        <v>87.0</v>
      </c>
      <c r="D1034" s="1">
        <v>380.0</v>
      </c>
      <c r="E1034" s="1">
        <v>467.0</v>
      </c>
      <c r="F1034" s="1" t="s">
        <v>2728</v>
      </c>
      <c r="G1034" s="1" t="s">
        <v>2729</v>
      </c>
      <c r="H1034" s="1" t="s">
        <v>190</v>
      </c>
      <c r="I1034" s="1" t="s">
        <v>2275</v>
      </c>
      <c r="J1034" s="1" t="s">
        <v>2559</v>
      </c>
      <c r="K1034" s="1" t="s">
        <v>2277</v>
      </c>
      <c r="L1034" s="1"/>
      <c r="M1034" s="1" t="s">
        <v>191</v>
      </c>
      <c r="N1034" s="6">
        <f>IFERROR(__xludf.DUMMYFUNCTION("IF(REGEXMATCH(A1034, ""^00-""), 0, IF(AND(EQ(F1034, """"), EQ(G1034, """")), 1, 0))"),0.0)</f>
        <v>0</v>
      </c>
      <c r="O1034" s="6">
        <f>IFERROR(__xludf.DUMMYFUNCTION("IF(REGEXMATCH(A1034, ""^00-""), 0, IF(AND(NE(F1034, """"), EQ(G1034, """")), 1, 0))"),0.0)</f>
        <v>0</v>
      </c>
      <c r="P1034" s="6">
        <f>IFERROR(__xludf.DUMMYFUNCTION("IF(REGEXMATCH(A1034, ""^00-""), 0, IF(AND(EQ(F1034, """"), NE(G1034, """")), 1, 0))"),0.0)</f>
        <v>0</v>
      </c>
      <c r="Q1034" s="6">
        <f>IFERROR(__xludf.DUMMYFUNCTION("IF(REGEXMATCH(A1034, ""^00-""), 0, IF(AND(NE(F1034, """"), NE(G1034, """")), 1, 0))"),1.0)</f>
        <v>1</v>
      </c>
      <c r="R1034" s="6">
        <f t="shared" si="1"/>
        <v>1</v>
      </c>
    </row>
    <row r="1035">
      <c r="A1035" s="1" t="s">
        <v>131</v>
      </c>
      <c r="B1035" s="1" t="s">
        <v>2730</v>
      </c>
      <c r="C1035" s="1">
        <v>32.0</v>
      </c>
      <c r="D1035" s="1">
        <v>435.0</v>
      </c>
      <c r="E1035" s="1">
        <v>467.0</v>
      </c>
      <c r="F1035" s="1" t="s">
        <v>2731</v>
      </c>
      <c r="G1035" s="1"/>
      <c r="H1035" s="1" t="s">
        <v>190</v>
      </c>
      <c r="I1035" s="1" t="s">
        <v>2275</v>
      </c>
      <c r="J1035" s="1" t="s">
        <v>2559</v>
      </c>
      <c r="K1035" s="1" t="s">
        <v>2277</v>
      </c>
      <c r="L1035" s="1"/>
      <c r="M1035" s="1" t="s">
        <v>191</v>
      </c>
      <c r="N1035" s="6">
        <f>IFERROR(__xludf.DUMMYFUNCTION("IF(REGEXMATCH(A1035, ""^00-""), 0, IF(AND(EQ(F1035, """"), EQ(G1035, """")), 1, 0))"),0.0)</f>
        <v>0</v>
      </c>
      <c r="O1035" s="6">
        <f>IFERROR(__xludf.DUMMYFUNCTION("IF(REGEXMATCH(A1035, ""^00-""), 0, IF(AND(NE(F1035, """"), EQ(G1035, """")), 1, 0))"),1.0)</f>
        <v>1</v>
      </c>
      <c r="P1035" s="6">
        <f>IFERROR(__xludf.DUMMYFUNCTION("IF(REGEXMATCH(A1035, ""^00-""), 0, IF(AND(EQ(F1035, """"), NE(G1035, """")), 1, 0))"),0.0)</f>
        <v>0</v>
      </c>
      <c r="Q1035" s="6">
        <f>IFERROR(__xludf.DUMMYFUNCTION("IF(REGEXMATCH(A1035, ""^00-""), 0, IF(AND(NE(F1035, """"), NE(G1035, """")), 1, 0))"),0.0)</f>
        <v>0</v>
      </c>
      <c r="R1035" s="6">
        <f t="shared" si="1"/>
        <v>1</v>
      </c>
    </row>
    <row r="1036">
      <c r="A1036" s="1" t="s">
        <v>131</v>
      </c>
      <c r="B1036" s="1" t="s">
        <v>2732</v>
      </c>
      <c r="C1036" s="1">
        <v>32.0</v>
      </c>
      <c r="D1036" s="1">
        <v>435.0</v>
      </c>
      <c r="E1036" s="1">
        <v>467.0</v>
      </c>
      <c r="F1036" s="1" t="s">
        <v>2733</v>
      </c>
      <c r="G1036" s="1"/>
      <c r="H1036" s="1" t="s">
        <v>190</v>
      </c>
      <c r="I1036" s="1" t="s">
        <v>2275</v>
      </c>
      <c r="J1036" s="1" t="s">
        <v>2559</v>
      </c>
      <c r="K1036" s="1" t="s">
        <v>2277</v>
      </c>
      <c r="L1036" s="1"/>
      <c r="M1036" s="1" t="s">
        <v>191</v>
      </c>
      <c r="N1036" s="6">
        <f>IFERROR(__xludf.DUMMYFUNCTION("IF(REGEXMATCH(A1036, ""^00-""), 0, IF(AND(EQ(F1036, """"), EQ(G1036, """")), 1, 0))"),0.0)</f>
        <v>0</v>
      </c>
      <c r="O1036" s="6">
        <f>IFERROR(__xludf.DUMMYFUNCTION("IF(REGEXMATCH(A1036, ""^00-""), 0, IF(AND(NE(F1036, """"), EQ(G1036, """")), 1, 0))"),1.0)</f>
        <v>1</v>
      </c>
      <c r="P1036" s="6">
        <f>IFERROR(__xludf.DUMMYFUNCTION("IF(REGEXMATCH(A1036, ""^00-""), 0, IF(AND(EQ(F1036, """"), NE(G1036, """")), 1, 0))"),0.0)</f>
        <v>0</v>
      </c>
      <c r="Q1036" s="6">
        <f>IFERROR(__xludf.DUMMYFUNCTION("IF(REGEXMATCH(A1036, ""^00-""), 0, IF(AND(NE(F1036, """"), NE(G1036, """")), 1, 0))"),0.0)</f>
        <v>0</v>
      </c>
      <c r="R1036" s="6">
        <f t="shared" si="1"/>
        <v>1</v>
      </c>
    </row>
    <row r="1037">
      <c r="A1037" s="1" t="s">
        <v>131</v>
      </c>
      <c r="B1037" s="1" t="s">
        <v>2734</v>
      </c>
      <c r="C1037" s="1">
        <v>87.0</v>
      </c>
      <c r="D1037" s="1">
        <v>380.0</v>
      </c>
      <c r="E1037" s="1">
        <v>467.0</v>
      </c>
      <c r="F1037" s="1" t="s">
        <v>2735</v>
      </c>
      <c r="G1037" s="1" t="s">
        <v>2736</v>
      </c>
      <c r="H1037" s="1" t="s">
        <v>190</v>
      </c>
      <c r="I1037" s="1" t="s">
        <v>2275</v>
      </c>
      <c r="J1037" s="1" t="s">
        <v>2559</v>
      </c>
      <c r="K1037" s="1" t="s">
        <v>2277</v>
      </c>
      <c r="L1037" s="1"/>
      <c r="M1037" s="1" t="s">
        <v>191</v>
      </c>
      <c r="N1037" s="6">
        <f>IFERROR(__xludf.DUMMYFUNCTION("IF(REGEXMATCH(A1037, ""^00-""), 0, IF(AND(EQ(F1037, """"), EQ(G1037, """")), 1, 0))"),0.0)</f>
        <v>0</v>
      </c>
      <c r="O1037" s="6">
        <f>IFERROR(__xludf.DUMMYFUNCTION("IF(REGEXMATCH(A1037, ""^00-""), 0, IF(AND(NE(F1037, """"), EQ(G1037, """")), 1, 0))"),0.0)</f>
        <v>0</v>
      </c>
      <c r="P1037" s="6">
        <f>IFERROR(__xludf.DUMMYFUNCTION("IF(REGEXMATCH(A1037, ""^00-""), 0, IF(AND(EQ(F1037, """"), NE(G1037, """")), 1, 0))"),0.0)</f>
        <v>0</v>
      </c>
      <c r="Q1037" s="6">
        <f>IFERROR(__xludf.DUMMYFUNCTION("IF(REGEXMATCH(A1037, ""^00-""), 0, IF(AND(NE(F1037, """"), NE(G1037, """")), 1, 0))"),1.0)</f>
        <v>1</v>
      </c>
      <c r="R1037" s="6">
        <f t="shared" si="1"/>
        <v>1</v>
      </c>
    </row>
    <row r="1038">
      <c r="A1038" s="1" t="s">
        <v>131</v>
      </c>
      <c r="B1038" s="1" t="s">
        <v>2737</v>
      </c>
      <c r="C1038" s="1">
        <v>5.0</v>
      </c>
      <c r="D1038" s="1">
        <v>462.0</v>
      </c>
      <c r="E1038" s="1">
        <v>467.0</v>
      </c>
      <c r="F1038" s="1" t="s">
        <v>2738</v>
      </c>
      <c r="G1038" s="1" t="s">
        <v>2739</v>
      </c>
      <c r="H1038" s="1" t="s">
        <v>171</v>
      </c>
      <c r="I1038" s="1" t="s">
        <v>2275</v>
      </c>
      <c r="J1038" s="1" t="s">
        <v>2559</v>
      </c>
      <c r="K1038" s="1" t="s">
        <v>2277</v>
      </c>
      <c r="L1038" s="1"/>
      <c r="M1038" s="1" t="s">
        <v>171</v>
      </c>
      <c r="N1038" s="6">
        <f>IFERROR(__xludf.DUMMYFUNCTION("IF(REGEXMATCH(A1038, ""^00-""), 0, IF(AND(EQ(F1038, """"), EQ(G1038, """")), 1, 0))"),0.0)</f>
        <v>0</v>
      </c>
      <c r="O1038" s="6">
        <f>IFERROR(__xludf.DUMMYFUNCTION("IF(REGEXMATCH(A1038, ""^00-""), 0, IF(AND(NE(F1038, """"), EQ(G1038, """")), 1, 0))"),0.0)</f>
        <v>0</v>
      </c>
      <c r="P1038" s="6">
        <f>IFERROR(__xludf.DUMMYFUNCTION("IF(REGEXMATCH(A1038, ""^00-""), 0, IF(AND(EQ(F1038, """"), NE(G1038, """")), 1, 0))"),0.0)</f>
        <v>0</v>
      </c>
      <c r="Q1038" s="6">
        <f>IFERROR(__xludf.DUMMYFUNCTION("IF(REGEXMATCH(A1038, ""^00-""), 0, IF(AND(NE(F1038, """"), NE(G1038, """")), 1, 0))"),1.0)</f>
        <v>1</v>
      </c>
      <c r="R1038" s="6">
        <f t="shared" si="1"/>
        <v>1</v>
      </c>
    </row>
    <row r="1039">
      <c r="A1039" s="1" t="s">
        <v>131</v>
      </c>
      <c r="B1039" s="1" t="s">
        <v>2740</v>
      </c>
      <c r="C1039" s="1">
        <v>426.0</v>
      </c>
      <c r="D1039" s="1">
        <v>41.0</v>
      </c>
      <c r="E1039" s="1">
        <v>467.0</v>
      </c>
      <c r="F1039" s="1" t="s">
        <v>2741</v>
      </c>
      <c r="G1039" s="1" t="s">
        <v>2742</v>
      </c>
      <c r="H1039" s="1" t="s">
        <v>190</v>
      </c>
      <c r="I1039" s="1" t="s">
        <v>2275</v>
      </c>
      <c r="J1039" s="1" t="s">
        <v>2559</v>
      </c>
      <c r="K1039" s="1" t="s">
        <v>2277</v>
      </c>
      <c r="L1039" s="1"/>
      <c r="M1039" s="1" t="s">
        <v>191</v>
      </c>
      <c r="N1039" s="6">
        <f>IFERROR(__xludf.DUMMYFUNCTION("IF(REGEXMATCH(A1039, ""^00-""), 0, IF(AND(EQ(F1039, """"), EQ(G1039, """")), 1, 0))"),0.0)</f>
        <v>0</v>
      </c>
      <c r="O1039" s="6">
        <f>IFERROR(__xludf.DUMMYFUNCTION("IF(REGEXMATCH(A1039, ""^00-""), 0, IF(AND(NE(F1039, """"), EQ(G1039, """")), 1, 0))"),0.0)</f>
        <v>0</v>
      </c>
      <c r="P1039" s="6">
        <f>IFERROR(__xludf.DUMMYFUNCTION("IF(REGEXMATCH(A1039, ""^00-""), 0, IF(AND(EQ(F1039, """"), NE(G1039, """")), 1, 0))"),0.0)</f>
        <v>0</v>
      </c>
      <c r="Q1039" s="6">
        <f>IFERROR(__xludf.DUMMYFUNCTION("IF(REGEXMATCH(A1039, ""^00-""), 0, IF(AND(NE(F1039, """"), NE(G1039, """")), 1, 0))"),1.0)</f>
        <v>1</v>
      </c>
      <c r="R1039" s="6">
        <f t="shared" si="1"/>
        <v>1</v>
      </c>
    </row>
    <row r="1040">
      <c r="A1040" s="1" t="s">
        <v>131</v>
      </c>
      <c r="B1040" s="1" t="s">
        <v>2743</v>
      </c>
      <c r="C1040" s="1">
        <v>69.0</v>
      </c>
      <c r="D1040" s="1">
        <v>398.0</v>
      </c>
      <c r="E1040" s="1">
        <v>467.0</v>
      </c>
      <c r="F1040" s="1" t="s">
        <v>2744</v>
      </c>
      <c r="G1040" s="1" t="s">
        <v>2745</v>
      </c>
      <c r="H1040" s="1" t="s">
        <v>269</v>
      </c>
      <c r="I1040" s="1" t="s">
        <v>2275</v>
      </c>
      <c r="J1040" s="1" t="s">
        <v>2559</v>
      </c>
      <c r="K1040" s="1" t="s">
        <v>2277</v>
      </c>
      <c r="L1040" s="1"/>
      <c r="M1040" s="1" t="s">
        <v>2743</v>
      </c>
      <c r="N1040" s="6">
        <f>IFERROR(__xludf.DUMMYFUNCTION("IF(REGEXMATCH(A1040, ""^00-""), 0, IF(AND(EQ(F1040, """"), EQ(G1040, """")), 1, 0))"),0.0)</f>
        <v>0</v>
      </c>
      <c r="O1040" s="6">
        <f>IFERROR(__xludf.DUMMYFUNCTION("IF(REGEXMATCH(A1040, ""^00-""), 0, IF(AND(NE(F1040, """"), EQ(G1040, """")), 1, 0))"),0.0)</f>
        <v>0</v>
      </c>
      <c r="P1040" s="6">
        <f>IFERROR(__xludf.DUMMYFUNCTION("IF(REGEXMATCH(A1040, ""^00-""), 0, IF(AND(EQ(F1040, """"), NE(G1040, """")), 1, 0))"),0.0)</f>
        <v>0</v>
      </c>
      <c r="Q1040" s="6">
        <f>IFERROR(__xludf.DUMMYFUNCTION("IF(REGEXMATCH(A1040, ""^00-""), 0, IF(AND(NE(F1040, """"), NE(G1040, """")), 1, 0))"),1.0)</f>
        <v>1</v>
      </c>
      <c r="R1040" s="6">
        <f t="shared" si="1"/>
        <v>1</v>
      </c>
    </row>
    <row r="1041">
      <c r="A1041" s="1" t="s">
        <v>131</v>
      </c>
      <c r="B1041" s="1" t="s">
        <v>2746</v>
      </c>
      <c r="C1041" s="1">
        <v>425.0</v>
      </c>
      <c r="D1041" s="1">
        <v>42.0</v>
      </c>
      <c r="E1041" s="1">
        <v>467.0</v>
      </c>
      <c r="F1041" s="1" t="s">
        <v>2747</v>
      </c>
      <c r="G1041" s="1" t="s">
        <v>2747</v>
      </c>
      <c r="H1041" s="1" t="s">
        <v>190</v>
      </c>
      <c r="I1041" s="1" t="s">
        <v>2275</v>
      </c>
      <c r="J1041" s="1" t="s">
        <v>2559</v>
      </c>
      <c r="K1041" s="1" t="s">
        <v>2277</v>
      </c>
      <c r="L1041" s="1"/>
      <c r="M1041" s="1" t="s">
        <v>191</v>
      </c>
      <c r="N1041" s="6">
        <f>IFERROR(__xludf.DUMMYFUNCTION("IF(REGEXMATCH(A1041, ""^00-""), 0, IF(AND(EQ(F1041, """"), EQ(G1041, """")), 1, 0))"),0.0)</f>
        <v>0</v>
      </c>
      <c r="O1041" s="6">
        <f>IFERROR(__xludf.DUMMYFUNCTION("IF(REGEXMATCH(A1041, ""^00-""), 0, IF(AND(NE(F1041, """"), EQ(G1041, """")), 1, 0))"),0.0)</f>
        <v>0</v>
      </c>
      <c r="P1041" s="6">
        <f>IFERROR(__xludf.DUMMYFUNCTION("IF(REGEXMATCH(A1041, ""^00-""), 0, IF(AND(EQ(F1041, """"), NE(G1041, """")), 1, 0))"),0.0)</f>
        <v>0</v>
      </c>
      <c r="Q1041" s="6">
        <f>IFERROR(__xludf.DUMMYFUNCTION("IF(REGEXMATCH(A1041, ""^00-""), 0, IF(AND(NE(F1041, """"), NE(G1041, """")), 1, 0))"),1.0)</f>
        <v>1</v>
      </c>
      <c r="R1041" s="6">
        <f t="shared" si="1"/>
        <v>1</v>
      </c>
    </row>
    <row r="1042">
      <c r="A1042" s="1" t="s">
        <v>131</v>
      </c>
      <c r="B1042" s="1" t="s">
        <v>2748</v>
      </c>
      <c r="C1042" s="1">
        <v>26.0</v>
      </c>
      <c r="D1042" s="1">
        <v>441.0</v>
      </c>
      <c r="E1042" s="1">
        <v>467.0</v>
      </c>
      <c r="F1042" s="1" t="s">
        <v>2749</v>
      </c>
      <c r="G1042" s="1" t="s">
        <v>2749</v>
      </c>
      <c r="H1042" s="1" t="s">
        <v>171</v>
      </c>
      <c r="I1042" s="1" t="s">
        <v>2275</v>
      </c>
      <c r="J1042" s="1" t="s">
        <v>2559</v>
      </c>
      <c r="K1042" s="1" t="s">
        <v>2277</v>
      </c>
      <c r="L1042" s="1"/>
      <c r="M1042" s="1" t="s">
        <v>171</v>
      </c>
      <c r="N1042" s="6">
        <f>IFERROR(__xludf.DUMMYFUNCTION("IF(REGEXMATCH(A1042, ""^00-""), 0, IF(AND(EQ(F1042, """"), EQ(G1042, """")), 1, 0))"),0.0)</f>
        <v>0</v>
      </c>
      <c r="O1042" s="6">
        <f>IFERROR(__xludf.DUMMYFUNCTION("IF(REGEXMATCH(A1042, ""^00-""), 0, IF(AND(NE(F1042, """"), EQ(G1042, """")), 1, 0))"),0.0)</f>
        <v>0</v>
      </c>
      <c r="P1042" s="6">
        <f>IFERROR(__xludf.DUMMYFUNCTION("IF(REGEXMATCH(A1042, ""^00-""), 0, IF(AND(EQ(F1042, """"), NE(G1042, """")), 1, 0))"),0.0)</f>
        <v>0</v>
      </c>
      <c r="Q1042" s="6">
        <f>IFERROR(__xludf.DUMMYFUNCTION("IF(REGEXMATCH(A1042, ""^00-""), 0, IF(AND(NE(F1042, """"), NE(G1042, """")), 1, 0))"),1.0)</f>
        <v>1</v>
      </c>
      <c r="R1042" s="6">
        <f t="shared" si="1"/>
        <v>1</v>
      </c>
    </row>
    <row r="1043">
      <c r="A1043" s="1" t="s">
        <v>131</v>
      </c>
      <c r="B1043" s="1" t="s">
        <v>2750</v>
      </c>
      <c r="C1043" s="1">
        <v>426.0</v>
      </c>
      <c r="D1043" s="1">
        <v>41.0</v>
      </c>
      <c r="E1043" s="1">
        <v>467.0</v>
      </c>
      <c r="F1043" s="1" t="s">
        <v>2751</v>
      </c>
      <c r="G1043" s="1" t="s">
        <v>2751</v>
      </c>
      <c r="H1043" s="1" t="s">
        <v>235</v>
      </c>
      <c r="I1043" s="1" t="s">
        <v>2275</v>
      </c>
      <c r="J1043" s="1" t="s">
        <v>2559</v>
      </c>
      <c r="K1043" s="1" t="s">
        <v>2277</v>
      </c>
      <c r="L1043" s="1"/>
      <c r="M1043" s="1" t="s">
        <v>2426</v>
      </c>
      <c r="N1043" s="6">
        <f>IFERROR(__xludf.DUMMYFUNCTION("IF(REGEXMATCH(A1043, ""^00-""), 0, IF(AND(EQ(F1043, """"), EQ(G1043, """")), 1, 0))"),0.0)</f>
        <v>0</v>
      </c>
      <c r="O1043" s="6">
        <f>IFERROR(__xludf.DUMMYFUNCTION("IF(REGEXMATCH(A1043, ""^00-""), 0, IF(AND(NE(F1043, """"), EQ(G1043, """")), 1, 0))"),0.0)</f>
        <v>0</v>
      </c>
      <c r="P1043" s="6">
        <f>IFERROR(__xludf.DUMMYFUNCTION("IF(REGEXMATCH(A1043, ""^00-""), 0, IF(AND(EQ(F1043, """"), NE(G1043, """")), 1, 0))"),0.0)</f>
        <v>0</v>
      </c>
      <c r="Q1043" s="6">
        <f>IFERROR(__xludf.DUMMYFUNCTION("IF(REGEXMATCH(A1043, ""^00-""), 0, IF(AND(NE(F1043, """"), NE(G1043, """")), 1, 0))"),1.0)</f>
        <v>1</v>
      </c>
      <c r="R1043" s="6">
        <f t="shared" si="1"/>
        <v>1</v>
      </c>
    </row>
    <row r="1044">
      <c r="A1044" s="1" t="s">
        <v>131</v>
      </c>
      <c r="B1044" s="1" t="s">
        <v>2752</v>
      </c>
      <c r="C1044" s="1">
        <v>7.0</v>
      </c>
      <c r="D1044" s="1">
        <v>460.0</v>
      </c>
      <c r="E1044" s="1">
        <v>467.0</v>
      </c>
      <c r="F1044" s="1" t="s">
        <v>2753</v>
      </c>
      <c r="G1044" s="1" t="s">
        <v>2753</v>
      </c>
      <c r="H1044" s="1" t="s">
        <v>171</v>
      </c>
      <c r="I1044" s="1" t="s">
        <v>2275</v>
      </c>
      <c r="J1044" s="1" t="s">
        <v>2559</v>
      </c>
      <c r="K1044" s="1" t="s">
        <v>2277</v>
      </c>
      <c r="L1044" s="1"/>
      <c r="M1044" s="1" t="s">
        <v>171</v>
      </c>
      <c r="N1044" s="6">
        <f>IFERROR(__xludf.DUMMYFUNCTION("IF(REGEXMATCH(A1044, ""^00-""), 0, IF(AND(EQ(F1044, """"), EQ(G1044, """")), 1, 0))"),0.0)</f>
        <v>0</v>
      </c>
      <c r="O1044" s="6">
        <f>IFERROR(__xludf.DUMMYFUNCTION("IF(REGEXMATCH(A1044, ""^00-""), 0, IF(AND(NE(F1044, """"), EQ(G1044, """")), 1, 0))"),0.0)</f>
        <v>0</v>
      </c>
      <c r="P1044" s="6">
        <f>IFERROR(__xludf.DUMMYFUNCTION("IF(REGEXMATCH(A1044, ""^00-""), 0, IF(AND(EQ(F1044, """"), NE(G1044, """")), 1, 0))"),0.0)</f>
        <v>0</v>
      </c>
      <c r="Q1044" s="6">
        <f>IFERROR(__xludf.DUMMYFUNCTION("IF(REGEXMATCH(A1044, ""^00-""), 0, IF(AND(NE(F1044, """"), NE(G1044, """")), 1, 0))"),1.0)</f>
        <v>1</v>
      </c>
      <c r="R1044" s="6">
        <f t="shared" si="1"/>
        <v>1</v>
      </c>
    </row>
    <row r="1045">
      <c r="A1045" s="1" t="s">
        <v>131</v>
      </c>
      <c r="B1045" s="1" t="s">
        <v>2754</v>
      </c>
      <c r="C1045" s="1">
        <v>426.0</v>
      </c>
      <c r="D1045" s="1">
        <v>41.0</v>
      </c>
      <c r="E1045" s="1">
        <v>467.0</v>
      </c>
      <c r="F1045" s="1" t="s">
        <v>2755</v>
      </c>
      <c r="G1045" s="1" t="s">
        <v>2755</v>
      </c>
      <c r="H1045" s="1" t="s">
        <v>269</v>
      </c>
      <c r="I1045" s="1" t="s">
        <v>2275</v>
      </c>
      <c r="J1045" s="1" t="s">
        <v>2559</v>
      </c>
      <c r="K1045" s="1" t="s">
        <v>2277</v>
      </c>
      <c r="L1045" s="1"/>
      <c r="M1045" s="1" t="s">
        <v>2754</v>
      </c>
      <c r="N1045" s="6">
        <f>IFERROR(__xludf.DUMMYFUNCTION("IF(REGEXMATCH(A1045, ""^00-""), 0, IF(AND(EQ(F1045, """"), EQ(G1045, """")), 1, 0))"),0.0)</f>
        <v>0</v>
      </c>
      <c r="O1045" s="6">
        <f>IFERROR(__xludf.DUMMYFUNCTION("IF(REGEXMATCH(A1045, ""^00-""), 0, IF(AND(NE(F1045, """"), EQ(G1045, """")), 1, 0))"),0.0)</f>
        <v>0</v>
      </c>
      <c r="P1045" s="6">
        <f>IFERROR(__xludf.DUMMYFUNCTION("IF(REGEXMATCH(A1045, ""^00-""), 0, IF(AND(EQ(F1045, """"), NE(G1045, """")), 1, 0))"),0.0)</f>
        <v>0</v>
      </c>
      <c r="Q1045" s="6">
        <f>IFERROR(__xludf.DUMMYFUNCTION("IF(REGEXMATCH(A1045, ""^00-""), 0, IF(AND(NE(F1045, """"), NE(G1045, """")), 1, 0))"),1.0)</f>
        <v>1</v>
      </c>
      <c r="R1045" s="6">
        <f t="shared" si="1"/>
        <v>1</v>
      </c>
    </row>
    <row r="1046">
      <c r="A1046" s="1" t="s">
        <v>131</v>
      </c>
      <c r="B1046" s="1" t="s">
        <v>2756</v>
      </c>
      <c r="C1046" s="1">
        <v>45.0</v>
      </c>
      <c r="D1046" s="1">
        <v>422.0</v>
      </c>
      <c r="E1046" s="1">
        <v>467.0</v>
      </c>
      <c r="F1046" s="1" t="s">
        <v>2757</v>
      </c>
      <c r="G1046" s="1" t="s">
        <v>2757</v>
      </c>
      <c r="H1046" s="1" t="s">
        <v>235</v>
      </c>
      <c r="I1046" s="1" t="s">
        <v>2275</v>
      </c>
      <c r="J1046" s="1" t="s">
        <v>2559</v>
      </c>
      <c r="K1046" s="1" t="s">
        <v>2277</v>
      </c>
      <c r="L1046" s="1"/>
      <c r="M1046" s="1" t="s">
        <v>2756</v>
      </c>
      <c r="N1046" s="6">
        <f>IFERROR(__xludf.DUMMYFUNCTION("IF(REGEXMATCH(A1046, ""^00-""), 0, IF(AND(EQ(F1046, """"), EQ(G1046, """")), 1, 0))"),0.0)</f>
        <v>0</v>
      </c>
      <c r="O1046" s="6">
        <f>IFERROR(__xludf.DUMMYFUNCTION("IF(REGEXMATCH(A1046, ""^00-""), 0, IF(AND(NE(F1046, """"), EQ(G1046, """")), 1, 0))"),0.0)</f>
        <v>0</v>
      </c>
      <c r="P1046" s="6">
        <f>IFERROR(__xludf.DUMMYFUNCTION("IF(REGEXMATCH(A1046, ""^00-""), 0, IF(AND(EQ(F1046, """"), NE(G1046, """")), 1, 0))"),0.0)</f>
        <v>0</v>
      </c>
      <c r="Q1046" s="6">
        <f>IFERROR(__xludf.DUMMYFUNCTION("IF(REGEXMATCH(A1046, ""^00-""), 0, IF(AND(NE(F1046, """"), NE(G1046, """")), 1, 0))"),1.0)</f>
        <v>1</v>
      </c>
      <c r="R1046" s="6">
        <f t="shared" si="1"/>
        <v>1</v>
      </c>
    </row>
    <row r="1047">
      <c r="A1047" s="1" t="s">
        <v>131</v>
      </c>
      <c r="B1047" s="1" t="s">
        <v>2758</v>
      </c>
      <c r="C1047" s="1">
        <v>1.0</v>
      </c>
      <c r="D1047" s="1">
        <v>466.0</v>
      </c>
      <c r="E1047" s="1">
        <v>467.0</v>
      </c>
      <c r="F1047" s="1" t="s">
        <v>2759</v>
      </c>
      <c r="G1047" s="1" t="s">
        <v>2759</v>
      </c>
      <c r="H1047" s="1" t="s">
        <v>171</v>
      </c>
      <c r="I1047" s="1" t="s">
        <v>2275</v>
      </c>
      <c r="J1047" s="1" t="s">
        <v>2559</v>
      </c>
      <c r="K1047" s="1" t="s">
        <v>2277</v>
      </c>
      <c r="L1047" s="1"/>
      <c r="M1047" s="1" t="s">
        <v>171</v>
      </c>
      <c r="N1047" s="6">
        <f>IFERROR(__xludf.DUMMYFUNCTION("IF(REGEXMATCH(A1047, ""^00-""), 0, IF(AND(EQ(F1047, """"), EQ(G1047, """")), 1, 0))"),0.0)</f>
        <v>0</v>
      </c>
      <c r="O1047" s="6">
        <f>IFERROR(__xludf.DUMMYFUNCTION("IF(REGEXMATCH(A1047, ""^00-""), 0, IF(AND(NE(F1047, """"), EQ(G1047, """")), 1, 0))"),0.0)</f>
        <v>0</v>
      </c>
      <c r="P1047" s="6">
        <f>IFERROR(__xludf.DUMMYFUNCTION("IF(REGEXMATCH(A1047, ""^00-""), 0, IF(AND(EQ(F1047, """"), NE(G1047, """")), 1, 0))"),0.0)</f>
        <v>0</v>
      </c>
      <c r="Q1047" s="6">
        <f>IFERROR(__xludf.DUMMYFUNCTION("IF(REGEXMATCH(A1047, ""^00-""), 0, IF(AND(NE(F1047, """"), NE(G1047, """")), 1, 0))"),1.0)</f>
        <v>1</v>
      </c>
      <c r="R1047" s="6">
        <f t="shared" si="1"/>
        <v>1</v>
      </c>
    </row>
    <row r="1048">
      <c r="A1048" s="1" t="s">
        <v>131</v>
      </c>
      <c r="B1048" s="1" t="s">
        <v>2760</v>
      </c>
      <c r="C1048" s="1">
        <v>426.0</v>
      </c>
      <c r="D1048" s="1">
        <v>41.0</v>
      </c>
      <c r="E1048" s="1">
        <v>467.0</v>
      </c>
      <c r="F1048" s="1" t="s">
        <v>2761</v>
      </c>
      <c r="G1048" s="1" t="s">
        <v>2761</v>
      </c>
      <c r="H1048" s="1" t="s">
        <v>250</v>
      </c>
      <c r="I1048" s="1" t="s">
        <v>2275</v>
      </c>
      <c r="J1048" s="1" t="s">
        <v>2559</v>
      </c>
      <c r="K1048" s="1" t="s">
        <v>2277</v>
      </c>
      <c r="L1048" s="1"/>
      <c r="M1048" s="1" t="s">
        <v>250</v>
      </c>
      <c r="N1048" s="6">
        <f>IFERROR(__xludf.DUMMYFUNCTION("IF(REGEXMATCH(A1048, ""^00-""), 0, IF(AND(EQ(F1048, """"), EQ(G1048, """")), 1, 0))"),0.0)</f>
        <v>0</v>
      </c>
      <c r="O1048" s="6">
        <f>IFERROR(__xludf.DUMMYFUNCTION("IF(REGEXMATCH(A1048, ""^00-""), 0, IF(AND(NE(F1048, """"), EQ(G1048, """")), 1, 0))"),0.0)</f>
        <v>0</v>
      </c>
      <c r="P1048" s="6">
        <f>IFERROR(__xludf.DUMMYFUNCTION("IF(REGEXMATCH(A1048, ""^00-""), 0, IF(AND(EQ(F1048, """"), NE(G1048, """")), 1, 0))"),0.0)</f>
        <v>0</v>
      </c>
      <c r="Q1048" s="6">
        <f>IFERROR(__xludf.DUMMYFUNCTION("IF(REGEXMATCH(A1048, ""^00-""), 0, IF(AND(NE(F1048, """"), NE(G1048, """")), 1, 0))"),1.0)</f>
        <v>1</v>
      </c>
      <c r="R1048" s="6">
        <f t="shared" si="1"/>
        <v>1</v>
      </c>
    </row>
    <row r="1049">
      <c r="A1049" s="1" t="s">
        <v>133</v>
      </c>
      <c r="B1049" s="1" t="s">
        <v>2762</v>
      </c>
      <c r="C1049" s="1">
        <v>428.0</v>
      </c>
      <c r="D1049" s="1">
        <v>39.0</v>
      </c>
      <c r="E1049" s="1">
        <v>467.0</v>
      </c>
      <c r="F1049" s="1" t="s">
        <v>2763</v>
      </c>
      <c r="G1049" s="1" t="s">
        <v>2763</v>
      </c>
      <c r="H1049" s="1" t="s">
        <v>190</v>
      </c>
      <c r="I1049" s="1" t="s">
        <v>2275</v>
      </c>
      <c r="J1049" s="1" t="s">
        <v>2764</v>
      </c>
      <c r="K1049" s="1" t="s">
        <v>2277</v>
      </c>
      <c r="L1049" s="1"/>
      <c r="M1049" s="1" t="s">
        <v>191</v>
      </c>
      <c r="N1049" s="6">
        <f>IFERROR(__xludf.DUMMYFUNCTION("IF(REGEXMATCH(A1049, ""^00-""), 0, IF(AND(EQ(F1049, """"), EQ(G1049, """")), 1, 0))"),0.0)</f>
        <v>0</v>
      </c>
      <c r="O1049" s="6">
        <f>IFERROR(__xludf.DUMMYFUNCTION("IF(REGEXMATCH(A1049, ""^00-""), 0, IF(AND(NE(F1049, """"), EQ(G1049, """")), 1, 0))"),0.0)</f>
        <v>0</v>
      </c>
      <c r="P1049" s="6">
        <f>IFERROR(__xludf.DUMMYFUNCTION("IF(REGEXMATCH(A1049, ""^00-""), 0, IF(AND(EQ(F1049, """"), NE(G1049, """")), 1, 0))"),0.0)</f>
        <v>0</v>
      </c>
      <c r="Q1049" s="6">
        <f>IFERROR(__xludf.DUMMYFUNCTION("IF(REGEXMATCH(A1049, ""^00-""), 0, IF(AND(NE(F1049, """"), NE(G1049, """")), 1, 0))"),1.0)</f>
        <v>1</v>
      </c>
      <c r="R1049" s="6">
        <f t="shared" si="1"/>
        <v>1</v>
      </c>
    </row>
    <row r="1050">
      <c r="A1050" s="1" t="s">
        <v>133</v>
      </c>
      <c r="B1050" s="1" t="s">
        <v>2765</v>
      </c>
      <c r="C1050" s="1">
        <v>26.0</v>
      </c>
      <c r="D1050" s="1">
        <v>441.0</v>
      </c>
      <c r="E1050" s="1">
        <v>467.0</v>
      </c>
      <c r="F1050" s="1" t="s">
        <v>2766</v>
      </c>
      <c r="G1050" s="1" t="s">
        <v>2766</v>
      </c>
      <c r="H1050" s="1" t="s">
        <v>235</v>
      </c>
      <c r="I1050" s="1" t="s">
        <v>2275</v>
      </c>
      <c r="J1050" s="1" t="s">
        <v>2764</v>
      </c>
      <c r="K1050" s="1" t="s">
        <v>2277</v>
      </c>
      <c r="L1050" s="1"/>
      <c r="M1050" s="1" t="s">
        <v>2767</v>
      </c>
      <c r="N1050" s="6">
        <f>IFERROR(__xludf.DUMMYFUNCTION("IF(REGEXMATCH(A1050, ""^00-""), 0, IF(AND(EQ(F1050, """"), EQ(G1050, """")), 1, 0))"),0.0)</f>
        <v>0</v>
      </c>
      <c r="O1050" s="6">
        <f>IFERROR(__xludf.DUMMYFUNCTION("IF(REGEXMATCH(A1050, ""^00-""), 0, IF(AND(NE(F1050, """"), EQ(G1050, """")), 1, 0))"),0.0)</f>
        <v>0</v>
      </c>
      <c r="P1050" s="6">
        <f>IFERROR(__xludf.DUMMYFUNCTION("IF(REGEXMATCH(A1050, ""^00-""), 0, IF(AND(EQ(F1050, """"), NE(G1050, """")), 1, 0))"),0.0)</f>
        <v>0</v>
      </c>
      <c r="Q1050" s="6">
        <f>IFERROR(__xludf.DUMMYFUNCTION("IF(REGEXMATCH(A1050, ""^00-""), 0, IF(AND(NE(F1050, """"), NE(G1050, """")), 1, 0))"),1.0)</f>
        <v>1</v>
      </c>
      <c r="R1050" s="6">
        <f t="shared" si="1"/>
        <v>1</v>
      </c>
    </row>
    <row r="1051">
      <c r="A1051" s="1" t="s">
        <v>133</v>
      </c>
      <c r="B1051" s="1" t="s">
        <v>2768</v>
      </c>
      <c r="C1051" s="1">
        <v>0.0</v>
      </c>
      <c r="D1051" s="1">
        <v>467.0</v>
      </c>
      <c r="E1051" s="1">
        <v>467.0</v>
      </c>
      <c r="F1051" s="1" t="s">
        <v>2769</v>
      </c>
      <c r="G1051" s="1" t="s">
        <v>2769</v>
      </c>
      <c r="H1051" s="1" t="s">
        <v>171</v>
      </c>
      <c r="I1051" s="1" t="s">
        <v>2275</v>
      </c>
      <c r="J1051" s="1" t="s">
        <v>2764</v>
      </c>
      <c r="K1051" s="1" t="s">
        <v>2277</v>
      </c>
      <c r="L1051" s="1"/>
      <c r="M1051" s="1" t="s">
        <v>171</v>
      </c>
      <c r="N1051" s="6">
        <f>IFERROR(__xludf.DUMMYFUNCTION("IF(REGEXMATCH(A1051, ""^00-""), 0, IF(AND(EQ(F1051, """"), EQ(G1051, """")), 1, 0))"),0.0)</f>
        <v>0</v>
      </c>
      <c r="O1051" s="6">
        <f>IFERROR(__xludf.DUMMYFUNCTION("IF(REGEXMATCH(A1051, ""^00-""), 0, IF(AND(NE(F1051, """"), EQ(G1051, """")), 1, 0))"),0.0)</f>
        <v>0</v>
      </c>
      <c r="P1051" s="6">
        <f>IFERROR(__xludf.DUMMYFUNCTION("IF(REGEXMATCH(A1051, ""^00-""), 0, IF(AND(EQ(F1051, """"), NE(G1051, """")), 1, 0))"),0.0)</f>
        <v>0</v>
      </c>
      <c r="Q1051" s="6">
        <f>IFERROR(__xludf.DUMMYFUNCTION("IF(REGEXMATCH(A1051, ""^00-""), 0, IF(AND(NE(F1051, """"), NE(G1051, """")), 1, 0))"),1.0)</f>
        <v>1</v>
      </c>
      <c r="R1051" s="6">
        <f t="shared" si="1"/>
        <v>1</v>
      </c>
    </row>
    <row r="1052">
      <c r="A1052" s="1" t="s">
        <v>133</v>
      </c>
      <c r="B1052" s="1" t="s">
        <v>2770</v>
      </c>
      <c r="C1052" s="1">
        <v>428.0</v>
      </c>
      <c r="D1052" s="1">
        <v>39.0</v>
      </c>
      <c r="E1052" s="1">
        <v>467.0</v>
      </c>
      <c r="F1052" s="1" t="s">
        <v>2771</v>
      </c>
      <c r="G1052" s="1" t="s">
        <v>2771</v>
      </c>
      <c r="H1052" s="1" t="s">
        <v>190</v>
      </c>
      <c r="I1052" s="1" t="s">
        <v>2275</v>
      </c>
      <c r="J1052" s="1" t="s">
        <v>2764</v>
      </c>
      <c r="K1052" s="1" t="s">
        <v>2277</v>
      </c>
      <c r="L1052" s="1"/>
      <c r="M1052" s="1" t="s">
        <v>191</v>
      </c>
      <c r="N1052" s="6">
        <f>IFERROR(__xludf.DUMMYFUNCTION("IF(REGEXMATCH(A1052, ""^00-""), 0, IF(AND(EQ(F1052, """"), EQ(G1052, """")), 1, 0))"),0.0)</f>
        <v>0</v>
      </c>
      <c r="O1052" s="6">
        <f>IFERROR(__xludf.DUMMYFUNCTION("IF(REGEXMATCH(A1052, ""^00-""), 0, IF(AND(NE(F1052, """"), EQ(G1052, """")), 1, 0))"),0.0)</f>
        <v>0</v>
      </c>
      <c r="P1052" s="6">
        <f>IFERROR(__xludf.DUMMYFUNCTION("IF(REGEXMATCH(A1052, ""^00-""), 0, IF(AND(EQ(F1052, """"), NE(G1052, """")), 1, 0))"),0.0)</f>
        <v>0</v>
      </c>
      <c r="Q1052" s="6">
        <f>IFERROR(__xludf.DUMMYFUNCTION("IF(REGEXMATCH(A1052, ""^00-""), 0, IF(AND(NE(F1052, """"), NE(G1052, """")), 1, 0))"),1.0)</f>
        <v>1</v>
      </c>
      <c r="R1052" s="6">
        <f t="shared" si="1"/>
        <v>1</v>
      </c>
    </row>
    <row r="1053">
      <c r="A1053" s="1" t="s">
        <v>133</v>
      </c>
      <c r="B1053" s="1" t="s">
        <v>2772</v>
      </c>
      <c r="C1053" s="1">
        <v>31.0</v>
      </c>
      <c r="D1053" s="1">
        <v>436.0</v>
      </c>
      <c r="E1053" s="1">
        <v>467.0</v>
      </c>
      <c r="F1053" s="1" t="s">
        <v>2773</v>
      </c>
      <c r="G1053" s="1" t="s">
        <v>2773</v>
      </c>
      <c r="H1053" s="1" t="s">
        <v>235</v>
      </c>
      <c r="I1053" s="1" t="s">
        <v>2275</v>
      </c>
      <c r="J1053" s="1" t="s">
        <v>2764</v>
      </c>
      <c r="K1053" s="1" t="s">
        <v>2277</v>
      </c>
      <c r="L1053" s="1"/>
      <c r="M1053" s="1" t="s">
        <v>2767</v>
      </c>
      <c r="N1053" s="6">
        <f>IFERROR(__xludf.DUMMYFUNCTION("IF(REGEXMATCH(A1053, ""^00-""), 0, IF(AND(EQ(F1053, """"), EQ(G1053, """")), 1, 0))"),0.0)</f>
        <v>0</v>
      </c>
      <c r="O1053" s="6">
        <f>IFERROR(__xludf.DUMMYFUNCTION("IF(REGEXMATCH(A1053, ""^00-""), 0, IF(AND(NE(F1053, """"), EQ(G1053, """")), 1, 0))"),0.0)</f>
        <v>0</v>
      </c>
      <c r="P1053" s="6">
        <f>IFERROR(__xludf.DUMMYFUNCTION("IF(REGEXMATCH(A1053, ""^00-""), 0, IF(AND(EQ(F1053, """"), NE(G1053, """")), 1, 0))"),0.0)</f>
        <v>0</v>
      </c>
      <c r="Q1053" s="6">
        <f>IFERROR(__xludf.DUMMYFUNCTION("IF(REGEXMATCH(A1053, ""^00-""), 0, IF(AND(NE(F1053, """"), NE(G1053, """")), 1, 0))"),1.0)</f>
        <v>1</v>
      </c>
      <c r="R1053" s="6">
        <f t="shared" si="1"/>
        <v>1</v>
      </c>
    </row>
    <row r="1054">
      <c r="A1054" s="1" t="s">
        <v>133</v>
      </c>
      <c r="B1054" s="1" t="s">
        <v>2774</v>
      </c>
      <c r="C1054" s="1">
        <v>0.0</v>
      </c>
      <c r="D1054" s="1">
        <v>467.0</v>
      </c>
      <c r="E1054" s="1">
        <v>467.0</v>
      </c>
      <c r="F1054" s="1" t="s">
        <v>2775</v>
      </c>
      <c r="G1054" s="1" t="s">
        <v>2775</v>
      </c>
      <c r="H1054" s="1" t="s">
        <v>171</v>
      </c>
      <c r="I1054" s="1" t="s">
        <v>2275</v>
      </c>
      <c r="J1054" s="1" t="s">
        <v>2764</v>
      </c>
      <c r="K1054" s="1" t="s">
        <v>2277</v>
      </c>
      <c r="L1054" s="1"/>
      <c r="M1054" s="1" t="s">
        <v>171</v>
      </c>
      <c r="N1054" s="6">
        <f>IFERROR(__xludf.DUMMYFUNCTION("IF(REGEXMATCH(A1054, ""^00-""), 0, IF(AND(EQ(F1054, """"), EQ(G1054, """")), 1, 0))"),0.0)</f>
        <v>0</v>
      </c>
      <c r="O1054" s="6">
        <f>IFERROR(__xludf.DUMMYFUNCTION("IF(REGEXMATCH(A1054, ""^00-""), 0, IF(AND(NE(F1054, """"), EQ(G1054, """")), 1, 0))"),0.0)</f>
        <v>0</v>
      </c>
      <c r="P1054" s="6">
        <f>IFERROR(__xludf.DUMMYFUNCTION("IF(REGEXMATCH(A1054, ""^00-""), 0, IF(AND(EQ(F1054, """"), NE(G1054, """")), 1, 0))"),0.0)</f>
        <v>0</v>
      </c>
      <c r="Q1054" s="6">
        <f>IFERROR(__xludf.DUMMYFUNCTION("IF(REGEXMATCH(A1054, ""^00-""), 0, IF(AND(NE(F1054, """"), NE(G1054, """")), 1, 0))"),1.0)</f>
        <v>1</v>
      </c>
      <c r="R1054" s="6">
        <f t="shared" si="1"/>
        <v>1</v>
      </c>
    </row>
    <row r="1055">
      <c r="A1055" s="1" t="s">
        <v>133</v>
      </c>
      <c r="B1055" s="1" t="s">
        <v>2776</v>
      </c>
      <c r="C1055" s="1">
        <v>428.0</v>
      </c>
      <c r="D1055" s="1">
        <v>39.0</v>
      </c>
      <c r="E1055" s="1">
        <v>467.0</v>
      </c>
      <c r="F1055" s="1" t="s">
        <v>2777</v>
      </c>
      <c r="G1055" s="1" t="s">
        <v>2777</v>
      </c>
      <c r="H1055" s="1" t="s">
        <v>190</v>
      </c>
      <c r="I1055" s="1" t="s">
        <v>2275</v>
      </c>
      <c r="J1055" s="1" t="s">
        <v>2764</v>
      </c>
      <c r="K1055" s="1" t="s">
        <v>2277</v>
      </c>
      <c r="L1055" s="1"/>
      <c r="M1055" s="1" t="s">
        <v>191</v>
      </c>
      <c r="N1055" s="6">
        <f>IFERROR(__xludf.DUMMYFUNCTION("IF(REGEXMATCH(A1055, ""^00-""), 0, IF(AND(EQ(F1055, """"), EQ(G1055, """")), 1, 0))"),0.0)</f>
        <v>0</v>
      </c>
      <c r="O1055" s="6">
        <f>IFERROR(__xludf.DUMMYFUNCTION("IF(REGEXMATCH(A1055, ""^00-""), 0, IF(AND(NE(F1055, """"), EQ(G1055, """")), 1, 0))"),0.0)</f>
        <v>0</v>
      </c>
      <c r="P1055" s="6">
        <f>IFERROR(__xludf.DUMMYFUNCTION("IF(REGEXMATCH(A1055, ""^00-""), 0, IF(AND(EQ(F1055, """"), NE(G1055, """")), 1, 0))"),0.0)</f>
        <v>0</v>
      </c>
      <c r="Q1055" s="6">
        <f>IFERROR(__xludf.DUMMYFUNCTION("IF(REGEXMATCH(A1055, ""^00-""), 0, IF(AND(NE(F1055, """"), NE(G1055, """")), 1, 0))"),1.0)</f>
        <v>1</v>
      </c>
      <c r="R1055" s="6">
        <f t="shared" si="1"/>
        <v>1</v>
      </c>
    </row>
    <row r="1056">
      <c r="A1056" s="1" t="s">
        <v>133</v>
      </c>
      <c r="B1056" s="1" t="s">
        <v>2778</v>
      </c>
      <c r="C1056" s="1">
        <v>34.0</v>
      </c>
      <c r="D1056" s="1">
        <v>433.0</v>
      </c>
      <c r="E1056" s="1">
        <v>467.0</v>
      </c>
      <c r="F1056" s="1" t="s">
        <v>2779</v>
      </c>
      <c r="G1056" s="1" t="s">
        <v>2779</v>
      </c>
      <c r="H1056" s="1" t="s">
        <v>235</v>
      </c>
      <c r="I1056" s="1" t="s">
        <v>2275</v>
      </c>
      <c r="J1056" s="1" t="s">
        <v>2764</v>
      </c>
      <c r="K1056" s="1" t="s">
        <v>2277</v>
      </c>
      <c r="L1056" s="1"/>
      <c r="M1056" s="1" t="s">
        <v>2767</v>
      </c>
      <c r="N1056" s="6">
        <f>IFERROR(__xludf.DUMMYFUNCTION("IF(REGEXMATCH(A1056, ""^00-""), 0, IF(AND(EQ(F1056, """"), EQ(G1056, """")), 1, 0))"),0.0)</f>
        <v>0</v>
      </c>
      <c r="O1056" s="6">
        <f>IFERROR(__xludf.DUMMYFUNCTION("IF(REGEXMATCH(A1056, ""^00-""), 0, IF(AND(NE(F1056, """"), EQ(G1056, """")), 1, 0))"),0.0)</f>
        <v>0</v>
      </c>
      <c r="P1056" s="6">
        <f>IFERROR(__xludf.DUMMYFUNCTION("IF(REGEXMATCH(A1056, ""^00-""), 0, IF(AND(EQ(F1056, """"), NE(G1056, """")), 1, 0))"),0.0)</f>
        <v>0</v>
      </c>
      <c r="Q1056" s="6">
        <f>IFERROR(__xludf.DUMMYFUNCTION("IF(REGEXMATCH(A1056, ""^00-""), 0, IF(AND(NE(F1056, """"), NE(G1056, """")), 1, 0))"),1.0)</f>
        <v>1</v>
      </c>
      <c r="R1056" s="6">
        <f t="shared" si="1"/>
        <v>1</v>
      </c>
    </row>
    <row r="1057">
      <c r="A1057" s="1" t="s">
        <v>133</v>
      </c>
      <c r="B1057" s="1" t="s">
        <v>2780</v>
      </c>
      <c r="C1057" s="1">
        <v>0.0</v>
      </c>
      <c r="D1057" s="1">
        <v>467.0</v>
      </c>
      <c r="E1057" s="1">
        <v>467.0</v>
      </c>
      <c r="F1057" s="1" t="s">
        <v>2781</v>
      </c>
      <c r="G1057" s="1" t="s">
        <v>2781</v>
      </c>
      <c r="H1057" s="1" t="s">
        <v>171</v>
      </c>
      <c r="I1057" s="1" t="s">
        <v>2275</v>
      </c>
      <c r="J1057" s="1" t="s">
        <v>2764</v>
      </c>
      <c r="K1057" s="1" t="s">
        <v>2277</v>
      </c>
      <c r="L1057" s="1"/>
      <c r="M1057" s="1" t="s">
        <v>171</v>
      </c>
      <c r="N1057" s="6">
        <f>IFERROR(__xludf.DUMMYFUNCTION("IF(REGEXMATCH(A1057, ""^00-""), 0, IF(AND(EQ(F1057, """"), EQ(G1057, """")), 1, 0))"),0.0)</f>
        <v>0</v>
      </c>
      <c r="O1057" s="6">
        <f>IFERROR(__xludf.DUMMYFUNCTION("IF(REGEXMATCH(A1057, ""^00-""), 0, IF(AND(NE(F1057, """"), EQ(G1057, """")), 1, 0))"),0.0)</f>
        <v>0</v>
      </c>
      <c r="P1057" s="6">
        <f>IFERROR(__xludf.DUMMYFUNCTION("IF(REGEXMATCH(A1057, ""^00-""), 0, IF(AND(EQ(F1057, """"), NE(G1057, """")), 1, 0))"),0.0)</f>
        <v>0</v>
      </c>
      <c r="Q1057" s="6">
        <f>IFERROR(__xludf.DUMMYFUNCTION("IF(REGEXMATCH(A1057, ""^00-""), 0, IF(AND(NE(F1057, """"), NE(G1057, """")), 1, 0))"),1.0)</f>
        <v>1</v>
      </c>
      <c r="R1057" s="6">
        <f t="shared" si="1"/>
        <v>1</v>
      </c>
    </row>
    <row r="1058">
      <c r="A1058" s="1" t="s">
        <v>133</v>
      </c>
      <c r="B1058" s="1" t="s">
        <v>2782</v>
      </c>
      <c r="C1058" s="1">
        <v>428.0</v>
      </c>
      <c r="D1058" s="1">
        <v>39.0</v>
      </c>
      <c r="E1058" s="1">
        <v>467.0</v>
      </c>
      <c r="F1058" s="1" t="s">
        <v>2783</v>
      </c>
      <c r="G1058" s="1" t="s">
        <v>2783</v>
      </c>
      <c r="H1058" s="1" t="s">
        <v>190</v>
      </c>
      <c r="I1058" s="1" t="s">
        <v>2275</v>
      </c>
      <c r="J1058" s="1" t="s">
        <v>2764</v>
      </c>
      <c r="K1058" s="1" t="s">
        <v>2277</v>
      </c>
      <c r="L1058" s="1"/>
      <c r="M1058" s="1" t="s">
        <v>191</v>
      </c>
      <c r="N1058" s="6">
        <f>IFERROR(__xludf.DUMMYFUNCTION("IF(REGEXMATCH(A1058, ""^00-""), 0, IF(AND(EQ(F1058, """"), EQ(G1058, """")), 1, 0))"),0.0)</f>
        <v>0</v>
      </c>
      <c r="O1058" s="6">
        <f>IFERROR(__xludf.DUMMYFUNCTION("IF(REGEXMATCH(A1058, ""^00-""), 0, IF(AND(NE(F1058, """"), EQ(G1058, """")), 1, 0))"),0.0)</f>
        <v>0</v>
      </c>
      <c r="P1058" s="6">
        <f>IFERROR(__xludf.DUMMYFUNCTION("IF(REGEXMATCH(A1058, ""^00-""), 0, IF(AND(EQ(F1058, """"), NE(G1058, """")), 1, 0))"),0.0)</f>
        <v>0</v>
      </c>
      <c r="Q1058" s="6">
        <f>IFERROR(__xludf.DUMMYFUNCTION("IF(REGEXMATCH(A1058, ""^00-""), 0, IF(AND(NE(F1058, """"), NE(G1058, """")), 1, 0))"),1.0)</f>
        <v>1</v>
      </c>
      <c r="R1058" s="6">
        <f t="shared" si="1"/>
        <v>1</v>
      </c>
    </row>
    <row r="1059">
      <c r="A1059" s="1" t="s">
        <v>133</v>
      </c>
      <c r="B1059" s="1" t="s">
        <v>2784</v>
      </c>
      <c r="C1059" s="1">
        <v>27.0</v>
      </c>
      <c r="D1059" s="1">
        <v>440.0</v>
      </c>
      <c r="E1059" s="1">
        <v>467.0</v>
      </c>
      <c r="F1059" s="1" t="s">
        <v>2785</v>
      </c>
      <c r="G1059" s="1" t="s">
        <v>2785</v>
      </c>
      <c r="H1059" s="1" t="s">
        <v>235</v>
      </c>
      <c r="I1059" s="1" t="s">
        <v>2275</v>
      </c>
      <c r="J1059" s="1" t="s">
        <v>2764</v>
      </c>
      <c r="K1059" s="1" t="s">
        <v>2277</v>
      </c>
      <c r="L1059" s="1"/>
      <c r="M1059" s="1" t="s">
        <v>2767</v>
      </c>
      <c r="N1059" s="6">
        <f>IFERROR(__xludf.DUMMYFUNCTION("IF(REGEXMATCH(A1059, ""^00-""), 0, IF(AND(EQ(F1059, """"), EQ(G1059, """")), 1, 0))"),0.0)</f>
        <v>0</v>
      </c>
      <c r="O1059" s="6">
        <f>IFERROR(__xludf.DUMMYFUNCTION("IF(REGEXMATCH(A1059, ""^00-""), 0, IF(AND(NE(F1059, """"), EQ(G1059, """")), 1, 0))"),0.0)</f>
        <v>0</v>
      </c>
      <c r="P1059" s="6">
        <f>IFERROR(__xludf.DUMMYFUNCTION("IF(REGEXMATCH(A1059, ""^00-""), 0, IF(AND(EQ(F1059, """"), NE(G1059, """")), 1, 0))"),0.0)</f>
        <v>0</v>
      </c>
      <c r="Q1059" s="6">
        <f>IFERROR(__xludf.DUMMYFUNCTION("IF(REGEXMATCH(A1059, ""^00-""), 0, IF(AND(NE(F1059, """"), NE(G1059, """")), 1, 0))"),1.0)</f>
        <v>1</v>
      </c>
      <c r="R1059" s="6">
        <f t="shared" si="1"/>
        <v>1</v>
      </c>
    </row>
    <row r="1060">
      <c r="A1060" s="1" t="s">
        <v>133</v>
      </c>
      <c r="B1060" s="1" t="s">
        <v>2786</v>
      </c>
      <c r="C1060" s="1">
        <v>0.0</v>
      </c>
      <c r="D1060" s="1">
        <v>467.0</v>
      </c>
      <c r="E1060" s="1">
        <v>467.0</v>
      </c>
      <c r="F1060" s="1" t="s">
        <v>2787</v>
      </c>
      <c r="G1060" s="1" t="s">
        <v>2787</v>
      </c>
      <c r="H1060" s="1" t="s">
        <v>171</v>
      </c>
      <c r="I1060" s="1" t="s">
        <v>2275</v>
      </c>
      <c r="J1060" s="1" t="s">
        <v>2764</v>
      </c>
      <c r="K1060" s="1" t="s">
        <v>2277</v>
      </c>
      <c r="L1060" s="1"/>
      <c r="M1060" s="1" t="s">
        <v>171</v>
      </c>
      <c r="N1060" s="6">
        <f>IFERROR(__xludf.DUMMYFUNCTION("IF(REGEXMATCH(A1060, ""^00-""), 0, IF(AND(EQ(F1060, """"), EQ(G1060, """")), 1, 0))"),0.0)</f>
        <v>0</v>
      </c>
      <c r="O1060" s="6">
        <f>IFERROR(__xludf.DUMMYFUNCTION("IF(REGEXMATCH(A1060, ""^00-""), 0, IF(AND(NE(F1060, """"), EQ(G1060, """")), 1, 0))"),0.0)</f>
        <v>0</v>
      </c>
      <c r="P1060" s="6">
        <f>IFERROR(__xludf.DUMMYFUNCTION("IF(REGEXMATCH(A1060, ""^00-""), 0, IF(AND(EQ(F1060, """"), NE(G1060, """")), 1, 0))"),0.0)</f>
        <v>0</v>
      </c>
      <c r="Q1060" s="6">
        <f>IFERROR(__xludf.DUMMYFUNCTION("IF(REGEXMATCH(A1060, ""^00-""), 0, IF(AND(NE(F1060, """"), NE(G1060, """")), 1, 0))"),1.0)</f>
        <v>1</v>
      </c>
      <c r="R1060" s="6">
        <f t="shared" si="1"/>
        <v>1</v>
      </c>
    </row>
    <row r="1061">
      <c r="A1061" s="1" t="s">
        <v>133</v>
      </c>
      <c r="B1061" s="1" t="s">
        <v>2788</v>
      </c>
      <c r="C1061" s="1">
        <v>428.0</v>
      </c>
      <c r="D1061" s="1">
        <v>39.0</v>
      </c>
      <c r="E1061" s="1">
        <v>467.0</v>
      </c>
      <c r="F1061" s="1" t="s">
        <v>2789</v>
      </c>
      <c r="G1061" s="1" t="s">
        <v>2789</v>
      </c>
      <c r="H1061" s="1" t="s">
        <v>190</v>
      </c>
      <c r="I1061" s="1" t="s">
        <v>2275</v>
      </c>
      <c r="J1061" s="1" t="s">
        <v>2764</v>
      </c>
      <c r="K1061" s="1" t="s">
        <v>2277</v>
      </c>
      <c r="L1061" s="1"/>
      <c r="M1061" s="1" t="s">
        <v>191</v>
      </c>
      <c r="N1061" s="6">
        <f>IFERROR(__xludf.DUMMYFUNCTION("IF(REGEXMATCH(A1061, ""^00-""), 0, IF(AND(EQ(F1061, """"), EQ(G1061, """")), 1, 0))"),0.0)</f>
        <v>0</v>
      </c>
      <c r="O1061" s="6">
        <f>IFERROR(__xludf.DUMMYFUNCTION("IF(REGEXMATCH(A1061, ""^00-""), 0, IF(AND(NE(F1061, """"), EQ(G1061, """")), 1, 0))"),0.0)</f>
        <v>0</v>
      </c>
      <c r="P1061" s="6">
        <f>IFERROR(__xludf.DUMMYFUNCTION("IF(REGEXMATCH(A1061, ""^00-""), 0, IF(AND(EQ(F1061, """"), NE(G1061, """")), 1, 0))"),0.0)</f>
        <v>0</v>
      </c>
      <c r="Q1061" s="6">
        <f>IFERROR(__xludf.DUMMYFUNCTION("IF(REGEXMATCH(A1061, ""^00-""), 0, IF(AND(NE(F1061, """"), NE(G1061, """")), 1, 0))"),1.0)</f>
        <v>1</v>
      </c>
      <c r="R1061" s="6">
        <f t="shared" si="1"/>
        <v>1</v>
      </c>
    </row>
    <row r="1062">
      <c r="A1062" s="1" t="s">
        <v>133</v>
      </c>
      <c r="B1062" s="1" t="s">
        <v>2790</v>
      </c>
      <c r="C1062" s="1">
        <v>31.0</v>
      </c>
      <c r="D1062" s="1">
        <v>436.0</v>
      </c>
      <c r="E1062" s="1">
        <v>467.0</v>
      </c>
      <c r="F1062" s="1" t="s">
        <v>2791</v>
      </c>
      <c r="G1062" s="1" t="s">
        <v>2791</v>
      </c>
      <c r="H1062" s="1" t="s">
        <v>235</v>
      </c>
      <c r="I1062" s="1" t="s">
        <v>2275</v>
      </c>
      <c r="J1062" s="1" t="s">
        <v>2764</v>
      </c>
      <c r="K1062" s="1" t="s">
        <v>2277</v>
      </c>
      <c r="L1062" s="1"/>
      <c r="M1062" s="1" t="s">
        <v>2767</v>
      </c>
      <c r="N1062" s="6">
        <f>IFERROR(__xludf.DUMMYFUNCTION("IF(REGEXMATCH(A1062, ""^00-""), 0, IF(AND(EQ(F1062, """"), EQ(G1062, """")), 1, 0))"),0.0)</f>
        <v>0</v>
      </c>
      <c r="O1062" s="6">
        <f>IFERROR(__xludf.DUMMYFUNCTION("IF(REGEXMATCH(A1062, ""^00-""), 0, IF(AND(NE(F1062, """"), EQ(G1062, """")), 1, 0))"),0.0)</f>
        <v>0</v>
      </c>
      <c r="P1062" s="6">
        <f>IFERROR(__xludf.DUMMYFUNCTION("IF(REGEXMATCH(A1062, ""^00-""), 0, IF(AND(EQ(F1062, """"), NE(G1062, """")), 1, 0))"),0.0)</f>
        <v>0</v>
      </c>
      <c r="Q1062" s="6">
        <f>IFERROR(__xludf.DUMMYFUNCTION("IF(REGEXMATCH(A1062, ""^00-""), 0, IF(AND(NE(F1062, """"), NE(G1062, """")), 1, 0))"),1.0)</f>
        <v>1</v>
      </c>
      <c r="R1062" s="6">
        <f t="shared" si="1"/>
        <v>1</v>
      </c>
    </row>
    <row r="1063">
      <c r="A1063" s="1" t="s">
        <v>133</v>
      </c>
      <c r="B1063" s="1" t="s">
        <v>2792</v>
      </c>
      <c r="C1063" s="1">
        <v>0.0</v>
      </c>
      <c r="D1063" s="1">
        <v>467.0</v>
      </c>
      <c r="E1063" s="1">
        <v>467.0</v>
      </c>
      <c r="F1063" s="1" t="s">
        <v>2793</v>
      </c>
      <c r="G1063" s="1" t="s">
        <v>2793</v>
      </c>
      <c r="H1063" s="1" t="s">
        <v>171</v>
      </c>
      <c r="I1063" s="1" t="s">
        <v>2275</v>
      </c>
      <c r="J1063" s="1" t="s">
        <v>2764</v>
      </c>
      <c r="K1063" s="1" t="s">
        <v>2277</v>
      </c>
      <c r="L1063" s="1"/>
      <c r="M1063" s="1" t="s">
        <v>171</v>
      </c>
      <c r="N1063" s="6">
        <f>IFERROR(__xludf.DUMMYFUNCTION("IF(REGEXMATCH(A1063, ""^00-""), 0, IF(AND(EQ(F1063, """"), EQ(G1063, """")), 1, 0))"),0.0)</f>
        <v>0</v>
      </c>
      <c r="O1063" s="6">
        <f>IFERROR(__xludf.DUMMYFUNCTION("IF(REGEXMATCH(A1063, ""^00-""), 0, IF(AND(NE(F1063, """"), EQ(G1063, """")), 1, 0))"),0.0)</f>
        <v>0</v>
      </c>
      <c r="P1063" s="6">
        <f>IFERROR(__xludf.DUMMYFUNCTION("IF(REGEXMATCH(A1063, ""^00-""), 0, IF(AND(EQ(F1063, """"), NE(G1063, """")), 1, 0))"),0.0)</f>
        <v>0</v>
      </c>
      <c r="Q1063" s="6">
        <f>IFERROR(__xludf.DUMMYFUNCTION("IF(REGEXMATCH(A1063, ""^00-""), 0, IF(AND(NE(F1063, """"), NE(G1063, """")), 1, 0))"),1.0)</f>
        <v>1</v>
      </c>
      <c r="R1063" s="6">
        <f t="shared" si="1"/>
        <v>1</v>
      </c>
    </row>
    <row r="1064">
      <c r="A1064" s="1" t="s">
        <v>133</v>
      </c>
      <c r="B1064" s="1" t="s">
        <v>2794</v>
      </c>
      <c r="C1064" s="1">
        <v>421.0</v>
      </c>
      <c r="D1064" s="1">
        <v>46.0</v>
      </c>
      <c r="E1064" s="1">
        <v>467.0</v>
      </c>
      <c r="F1064" s="1" t="s">
        <v>2795</v>
      </c>
      <c r="G1064" s="1" t="s">
        <v>2795</v>
      </c>
      <c r="H1064" s="1" t="s">
        <v>182</v>
      </c>
      <c r="I1064" s="1" t="s">
        <v>2275</v>
      </c>
      <c r="J1064" s="1" t="s">
        <v>2764</v>
      </c>
      <c r="K1064" s="1" t="s">
        <v>2277</v>
      </c>
      <c r="L1064" s="1"/>
      <c r="M1064" s="1" t="s">
        <v>185</v>
      </c>
      <c r="N1064" s="6">
        <f>IFERROR(__xludf.DUMMYFUNCTION("IF(REGEXMATCH(A1064, ""^00-""), 0, IF(AND(EQ(F1064, """"), EQ(G1064, """")), 1, 0))"),0.0)</f>
        <v>0</v>
      </c>
      <c r="O1064" s="6">
        <f>IFERROR(__xludf.DUMMYFUNCTION("IF(REGEXMATCH(A1064, ""^00-""), 0, IF(AND(NE(F1064, """"), EQ(G1064, """")), 1, 0))"),0.0)</f>
        <v>0</v>
      </c>
      <c r="P1064" s="6">
        <f>IFERROR(__xludf.DUMMYFUNCTION("IF(REGEXMATCH(A1064, ""^00-""), 0, IF(AND(EQ(F1064, """"), NE(G1064, """")), 1, 0))"),0.0)</f>
        <v>0</v>
      </c>
      <c r="Q1064" s="6">
        <f>IFERROR(__xludf.DUMMYFUNCTION("IF(REGEXMATCH(A1064, ""^00-""), 0, IF(AND(NE(F1064, """"), NE(G1064, """")), 1, 0))"),1.0)</f>
        <v>1</v>
      </c>
      <c r="R1064" s="6">
        <f t="shared" si="1"/>
        <v>1</v>
      </c>
    </row>
    <row r="1065">
      <c r="A1065" s="1" t="s">
        <v>133</v>
      </c>
      <c r="B1065" s="1" t="s">
        <v>2796</v>
      </c>
      <c r="C1065" s="1">
        <v>415.0</v>
      </c>
      <c r="D1065" s="1">
        <v>52.0</v>
      </c>
      <c r="E1065" s="1">
        <v>467.0</v>
      </c>
      <c r="F1065" s="1" t="s">
        <v>2797</v>
      </c>
      <c r="G1065" s="1" t="s">
        <v>2797</v>
      </c>
      <c r="H1065" s="1" t="s">
        <v>182</v>
      </c>
      <c r="I1065" s="1" t="s">
        <v>2275</v>
      </c>
      <c r="J1065" s="1" t="s">
        <v>2764</v>
      </c>
      <c r="K1065" s="1" t="s">
        <v>2277</v>
      </c>
      <c r="L1065" s="1"/>
      <c r="M1065" s="1" t="s">
        <v>185</v>
      </c>
      <c r="N1065" s="6">
        <f>IFERROR(__xludf.DUMMYFUNCTION("IF(REGEXMATCH(A1065, ""^00-""), 0, IF(AND(EQ(F1065, """"), EQ(G1065, """")), 1, 0))"),0.0)</f>
        <v>0</v>
      </c>
      <c r="O1065" s="6">
        <f>IFERROR(__xludf.DUMMYFUNCTION("IF(REGEXMATCH(A1065, ""^00-""), 0, IF(AND(NE(F1065, """"), EQ(G1065, """")), 1, 0))"),0.0)</f>
        <v>0</v>
      </c>
      <c r="P1065" s="6">
        <f>IFERROR(__xludf.DUMMYFUNCTION("IF(REGEXMATCH(A1065, ""^00-""), 0, IF(AND(EQ(F1065, """"), NE(G1065, """")), 1, 0))"),0.0)</f>
        <v>0</v>
      </c>
      <c r="Q1065" s="6">
        <f>IFERROR(__xludf.DUMMYFUNCTION("IF(REGEXMATCH(A1065, ""^00-""), 0, IF(AND(NE(F1065, """"), NE(G1065, """")), 1, 0))"),1.0)</f>
        <v>1</v>
      </c>
      <c r="R1065" s="6">
        <f t="shared" si="1"/>
        <v>1</v>
      </c>
    </row>
    <row r="1066">
      <c r="A1066" s="1" t="s">
        <v>133</v>
      </c>
      <c r="B1066" s="1" t="s">
        <v>2798</v>
      </c>
      <c r="C1066" s="1">
        <v>413.0</v>
      </c>
      <c r="D1066" s="1">
        <v>54.0</v>
      </c>
      <c r="E1066" s="1">
        <v>467.0</v>
      </c>
      <c r="F1066" s="1" t="s">
        <v>2799</v>
      </c>
      <c r="G1066" s="1" t="s">
        <v>2799</v>
      </c>
      <c r="H1066" s="1" t="s">
        <v>182</v>
      </c>
      <c r="I1066" s="1" t="s">
        <v>2275</v>
      </c>
      <c r="J1066" s="1" t="s">
        <v>2764</v>
      </c>
      <c r="K1066" s="1" t="s">
        <v>2277</v>
      </c>
      <c r="L1066" s="1"/>
      <c r="M1066" s="1" t="s">
        <v>185</v>
      </c>
      <c r="N1066" s="6">
        <f>IFERROR(__xludf.DUMMYFUNCTION("IF(REGEXMATCH(A1066, ""^00-""), 0, IF(AND(EQ(F1066, """"), EQ(G1066, """")), 1, 0))"),0.0)</f>
        <v>0</v>
      </c>
      <c r="O1066" s="6">
        <f>IFERROR(__xludf.DUMMYFUNCTION("IF(REGEXMATCH(A1066, ""^00-""), 0, IF(AND(NE(F1066, """"), EQ(G1066, """")), 1, 0))"),0.0)</f>
        <v>0</v>
      </c>
      <c r="P1066" s="6">
        <f>IFERROR(__xludf.DUMMYFUNCTION("IF(REGEXMATCH(A1066, ""^00-""), 0, IF(AND(EQ(F1066, """"), NE(G1066, """")), 1, 0))"),0.0)</f>
        <v>0</v>
      </c>
      <c r="Q1066" s="6">
        <f>IFERROR(__xludf.DUMMYFUNCTION("IF(REGEXMATCH(A1066, ""^00-""), 0, IF(AND(NE(F1066, """"), NE(G1066, """")), 1, 0))"),1.0)</f>
        <v>1</v>
      </c>
      <c r="R1066" s="6">
        <f t="shared" si="1"/>
        <v>1</v>
      </c>
    </row>
    <row r="1067">
      <c r="A1067" s="1" t="s">
        <v>133</v>
      </c>
      <c r="B1067" s="1" t="s">
        <v>2800</v>
      </c>
      <c r="C1067" s="1">
        <v>421.0</v>
      </c>
      <c r="D1067" s="1">
        <v>46.0</v>
      </c>
      <c r="E1067" s="1">
        <v>467.0</v>
      </c>
      <c r="F1067" s="1" t="s">
        <v>2801</v>
      </c>
      <c r="G1067" s="1" t="s">
        <v>2801</v>
      </c>
      <c r="H1067" s="1" t="s">
        <v>182</v>
      </c>
      <c r="I1067" s="1" t="s">
        <v>2275</v>
      </c>
      <c r="J1067" s="1" t="s">
        <v>2764</v>
      </c>
      <c r="K1067" s="1" t="s">
        <v>2277</v>
      </c>
      <c r="L1067" s="1"/>
      <c r="M1067" s="1" t="s">
        <v>185</v>
      </c>
      <c r="N1067" s="6">
        <f>IFERROR(__xludf.DUMMYFUNCTION("IF(REGEXMATCH(A1067, ""^00-""), 0, IF(AND(EQ(F1067, """"), EQ(G1067, """")), 1, 0))"),0.0)</f>
        <v>0</v>
      </c>
      <c r="O1067" s="6">
        <f>IFERROR(__xludf.DUMMYFUNCTION("IF(REGEXMATCH(A1067, ""^00-""), 0, IF(AND(NE(F1067, """"), EQ(G1067, """")), 1, 0))"),0.0)</f>
        <v>0</v>
      </c>
      <c r="P1067" s="6">
        <f>IFERROR(__xludf.DUMMYFUNCTION("IF(REGEXMATCH(A1067, ""^00-""), 0, IF(AND(EQ(F1067, """"), NE(G1067, """")), 1, 0))"),0.0)</f>
        <v>0</v>
      </c>
      <c r="Q1067" s="6">
        <f>IFERROR(__xludf.DUMMYFUNCTION("IF(REGEXMATCH(A1067, ""^00-""), 0, IF(AND(NE(F1067, """"), NE(G1067, """")), 1, 0))"),1.0)</f>
        <v>1</v>
      </c>
      <c r="R1067" s="6">
        <f t="shared" si="1"/>
        <v>1</v>
      </c>
    </row>
    <row r="1068">
      <c r="A1068" s="1" t="s">
        <v>133</v>
      </c>
      <c r="B1068" s="1" t="s">
        <v>2802</v>
      </c>
      <c r="C1068" s="1">
        <v>417.0</v>
      </c>
      <c r="D1068" s="1">
        <v>50.0</v>
      </c>
      <c r="E1068" s="1">
        <v>467.0</v>
      </c>
      <c r="F1068" s="1" t="s">
        <v>2803</v>
      </c>
      <c r="G1068" s="1" t="s">
        <v>2803</v>
      </c>
      <c r="H1068" s="1" t="s">
        <v>182</v>
      </c>
      <c r="I1068" s="1" t="s">
        <v>2275</v>
      </c>
      <c r="J1068" s="1" t="s">
        <v>2764</v>
      </c>
      <c r="K1068" s="1" t="s">
        <v>2277</v>
      </c>
      <c r="L1068" s="1"/>
      <c r="M1068" s="1" t="s">
        <v>185</v>
      </c>
      <c r="N1068" s="6">
        <f>IFERROR(__xludf.DUMMYFUNCTION("IF(REGEXMATCH(A1068, ""^00-""), 0, IF(AND(EQ(F1068, """"), EQ(G1068, """")), 1, 0))"),0.0)</f>
        <v>0</v>
      </c>
      <c r="O1068" s="6">
        <f>IFERROR(__xludf.DUMMYFUNCTION("IF(REGEXMATCH(A1068, ""^00-""), 0, IF(AND(NE(F1068, """"), EQ(G1068, """")), 1, 0))"),0.0)</f>
        <v>0</v>
      </c>
      <c r="P1068" s="6">
        <f>IFERROR(__xludf.DUMMYFUNCTION("IF(REGEXMATCH(A1068, ""^00-""), 0, IF(AND(EQ(F1068, """"), NE(G1068, """")), 1, 0))"),0.0)</f>
        <v>0</v>
      </c>
      <c r="Q1068" s="6">
        <f>IFERROR(__xludf.DUMMYFUNCTION("IF(REGEXMATCH(A1068, ""^00-""), 0, IF(AND(NE(F1068, """"), NE(G1068, """")), 1, 0))"),1.0)</f>
        <v>1</v>
      </c>
      <c r="R1068" s="6">
        <f t="shared" si="1"/>
        <v>1</v>
      </c>
    </row>
    <row r="1069">
      <c r="A1069" s="1" t="s">
        <v>133</v>
      </c>
      <c r="B1069" s="1" t="s">
        <v>2804</v>
      </c>
      <c r="C1069" s="1">
        <v>401.0</v>
      </c>
      <c r="D1069" s="1">
        <v>66.0</v>
      </c>
      <c r="E1069" s="1">
        <v>467.0</v>
      </c>
      <c r="F1069" s="1" t="s">
        <v>2805</v>
      </c>
      <c r="G1069" s="1" t="s">
        <v>2805</v>
      </c>
      <c r="H1069" s="1" t="s">
        <v>182</v>
      </c>
      <c r="I1069" s="1" t="s">
        <v>2275</v>
      </c>
      <c r="J1069" s="1" t="s">
        <v>2764</v>
      </c>
      <c r="K1069" s="1" t="s">
        <v>2277</v>
      </c>
      <c r="L1069" s="1"/>
      <c r="M1069" s="1" t="s">
        <v>185</v>
      </c>
      <c r="N1069" s="6">
        <f>IFERROR(__xludf.DUMMYFUNCTION("IF(REGEXMATCH(A1069, ""^00-""), 0, IF(AND(EQ(F1069, """"), EQ(G1069, """")), 1, 0))"),0.0)</f>
        <v>0</v>
      </c>
      <c r="O1069" s="6">
        <f>IFERROR(__xludf.DUMMYFUNCTION("IF(REGEXMATCH(A1069, ""^00-""), 0, IF(AND(NE(F1069, """"), EQ(G1069, """")), 1, 0))"),0.0)</f>
        <v>0</v>
      </c>
      <c r="P1069" s="6">
        <f>IFERROR(__xludf.DUMMYFUNCTION("IF(REGEXMATCH(A1069, ""^00-""), 0, IF(AND(EQ(F1069, """"), NE(G1069, """")), 1, 0))"),0.0)</f>
        <v>0</v>
      </c>
      <c r="Q1069" s="6">
        <f>IFERROR(__xludf.DUMMYFUNCTION("IF(REGEXMATCH(A1069, ""^00-""), 0, IF(AND(NE(F1069, """"), NE(G1069, """")), 1, 0))"),1.0)</f>
        <v>1</v>
      </c>
      <c r="R1069" s="6">
        <f t="shared" si="1"/>
        <v>1</v>
      </c>
    </row>
    <row r="1070">
      <c r="A1070" s="1" t="s">
        <v>133</v>
      </c>
      <c r="B1070" s="1" t="s">
        <v>2806</v>
      </c>
      <c r="C1070" s="1">
        <v>402.0</v>
      </c>
      <c r="D1070" s="1">
        <v>65.0</v>
      </c>
      <c r="E1070" s="1">
        <v>467.0</v>
      </c>
      <c r="F1070" s="1" t="s">
        <v>2807</v>
      </c>
      <c r="G1070" s="1" t="s">
        <v>2807</v>
      </c>
      <c r="H1070" s="1" t="s">
        <v>182</v>
      </c>
      <c r="I1070" s="1" t="s">
        <v>2275</v>
      </c>
      <c r="J1070" s="1" t="s">
        <v>2764</v>
      </c>
      <c r="K1070" s="1" t="s">
        <v>2277</v>
      </c>
      <c r="L1070" s="1"/>
      <c r="M1070" s="1" t="s">
        <v>185</v>
      </c>
      <c r="N1070" s="6">
        <f>IFERROR(__xludf.DUMMYFUNCTION("IF(REGEXMATCH(A1070, ""^00-""), 0, IF(AND(EQ(F1070, """"), EQ(G1070, """")), 1, 0))"),0.0)</f>
        <v>0</v>
      </c>
      <c r="O1070" s="6">
        <f>IFERROR(__xludf.DUMMYFUNCTION("IF(REGEXMATCH(A1070, ""^00-""), 0, IF(AND(NE(F1070, """"), EQ(G1070, """")), 1, 0))"),0.0)</f>
        <v>0</v>
      </c>
      <c r="P1070" s="6">
        <f>IFERROR(__xludf.DUMMYFUNCTION("IF(REGEXMATCH(A1070, ""^00-""), 0, IF(AND(EQ(F1070, """"), NE(G1070, """")), 1, 0))"),0.0)</f>
        <v>0</v>
      </c>
      <c r="Q1070" s="6">
        <f>IFERROR(__xludf.DUMMYFUNCTION("IF(REGEXMATCH(A1070, ""^00-""), 0, IF(AND(NE(F1070, """"), NE(G1070, """")), 1, 0))"),1.0)</f>
        <v>1</v>
      </c>
      <c r="R1070" s="6">
        <f t="shared" si="1"/>
        <v>1</v>
      </c>
    </row>
    <row r="1071">
      <c r="A1071" s="1" t="s">
        <v>133</v>
      </c>
      <c r="B1071" s="1" t="s">
        <v>2808</v>
      </c>
      <c r="C1071" s="1">
        <v>421.0</v>
      </c>
      <c r="D1071" s="1">
        <v>46.0</v>
      </c>
      <c r="E1071" s="1">
        <v>467.0</v>
      </c>
      <c r="F1071" s="1" t="s">
        <v>2809</v>
      </c>
      <c r="G1071" s="1" t="s">
        <v>2809</v>
      </c>
      <c r="H1071" s="1" t="s">
        <v>182</v>
      </c>
      <c r="I1071" s="1" t="s">
        <v>2275</v>
      </c>
      <c r="J1071" s="1" t="s">
        <v>2764</v>
      </c>
      <c r="K1071" s="1" t="s">
        <v>2277</v>
      </c>
      <c r="L1071" s="1"/>
      <c r="M1071" s="1" t="s">
        <v>185</v>
      </c>
      <c r="N1071" s="6">
        <f>IFERROR(__xludf.DUMMYFUNCTION("IF(REGEXMATCH(A1071, ""^00-""), 0, IF(AND(EQ(F1071, """"), EQ(G1071, """")), 1, 0))"),0.0)</f>
        <v>0</v>
      </c>
      <c r="O1071" s="6">
        <f>IFERROR(__xludf.DUMMYFUNCTION("IF(REGEXMATCH(A1071, ""^00-""), 0, IF(AND(NE(F1071, """"), EQ(G1071, """")), 1, 0))"),0.0)</f>
        <v>0</v>
      </c>
      <c r="P1071" s="6">
        <f>IFERROR(__xludf.DUMMYFUNCTION("IF(REGEXMATCH(A1071, ""^00-""), 0, IF(AND(EQ(F1071, """"), NE(G1071, """")), 1, 0))"),0.0)</f>
        <v>0</v>
      </c>
      <c r="Q1071" s="6">
        <f>IFERROR(__xludf.DUMMYFUNCTION("IF(REGEXMATCH(A1071, ""^00-""), 0, IF(AND(NE(F1071, """"), NE(G1071, """")), 1, 0))"),1.0)</f>
        <v>1</v>
      </c>
      <c r="R1071" s="6">
        <f t="shared" si="1"/>
        <v>1</v>
      </c>
    </row>
    <row r="1072">
      <c r="A1072" s="1" t="s">
        <v>133</v>
      </c>
      <c r="B1072" s="1" t="s">
        <v>2810</v>
      </c>
      <c r="C1072" s="1">
        <v>396.0</v>
      </c>
      <c r="D1072" s="1">
        <v>71.0</v>
      </c>
      <c r="E1072" s="1">
        <v>467.0</v>
      </c>
      <c r="F1072" s="1" t="s">
        <v>2811</v>
      </c>
      <c r="G1072" s="1" t="s">
        <v>2811</v>
      </c>
      <c r="H1072" s="1" t="s">
        <v>182</v>
      </c>
      <c r="I1072" s="1" t="s">
        <v>2275</v>
      </c>
      <c r="J1072" s="1" t="s">
        <v>2764</v>
      </c>
      <c r="K1072" s="1" t="s">
        <v>2277</v>
      </c>
      <c r="L1072" s="1"/>
      <c r="M1072" s="1" t="s">
        <v>185</v>
      </c>
      <c r="N1072" s="6">
        <f>IFERROR(__xludf.DUMMYFUNCTION("IF(REGEXMATCH(A1072, ""^00-""), 0, IF(AND(EQ(F1072, """"), EQ(G1072, """")), 1, 0))"),0.0)</f>
        <v>0</v>
      </c>
      <c r="O1072" s="6">
        <f>IFERROR(__xludf.DUMMYFUNCTION("IF(REGEXMATCH(A1072, ""^00-""), 0, IF(AND(NE(F1072, """"), EQ(G1072, """")), 1, 0))"),0.0)</f>
        <v>0</v>
      </c>
      <c r="P1072" s="6">
        <f>IFERROR(__xludf.DUMMYFUNCTION("IF(REGEXMATCH(A1072, ""^00-""), 0, IF(AND(EQ(F1072, """"), NE(G1072, """")), 1, 0))"),0.0)</f>
        <v>0</v>
      </c>
      <c r="Q1072" s="6">
        <f>IFERROR(__xludf.DUMMYFUNCTION("IF(REGEXMATCH(A1072, ""^00-""), 0, IF(AND(NE(F1072, """"), NE(G1072, """")), 1, 0))"),1.0)</f>
        <v>1</v>
      </c>
      <c r="R1072" s="6">
        <f t="shared" si="1"/>
        <v>1</v>
      </c>
    </row>
    <row r="1073">
      <c r="A1073" s="1" t="s">
        <v>133</v>
      </c>
      <c r="B1073" s="1" t="s">
        <v>2812</v>
      </c>
      <c r="C1073" s="1">
        <v>397.0</v>
      </c>
      <c r="D1073" s="1">
        <v>70.0</v>
      </c>
      <c r="E1073" s="1">
        <v>467.0</v>
      </c>
      <c r="F1073" s="1" t="s">
        <v>2813</v>
      </c>
      <c r="G1073" s="1" t="s">
        <v>2813</v>
      </c>
      <c r="H1073" s="1" t="s">
        <v>182</v>
      </c>
      <c r="I1073" s="1" t="s">
        <v>2275</v>
      </c>
      <c r="J1073" s="1" t="s">
        <v>2764</v>
      </c>
      <c r="K1073" s="1" t="s">
        <v>2277</v>
      </c>
      <c r="L1073" s="1"/>
      <c r="M1073" s="1" t="s">
        <v>185</v>
      </c>
      <c r="N1073" s="6">
        <f>IFERROR(__xludf.DUMMYFUNCTION("IF(REGEXMATCH(A1073, ""^00-""), 0, IF(AND(EQ(F1073, """"), EQ(G1073, """")), 1, 0))"),0.0)</f>
        <v>0</v>
      </c>
      <c r="O1073" s="6">
        <f>IFERROR(__xludf.DUMMYFUNCTION("IF(REGEXMATCH(A1073, ""^00-""), 0, IF(AND(NE(F1073, """"), EQ(G1073, """")), 1, 0))"),0.0)</f>
        <v>0</v>
      </c>
      <c r="P1073" s="6">
        <f>IFERROR(__xludf.DUMMYFUNCTION("IF(REGEXMATCH(A1073, ""^00-""), 0, IF(AND(EQ(F1073, """"), NE(G1073, """")), 1, 0))"),0.0)</f>
        <v>0</v>
      </c>
      <c r="Q1073" s="6">
        <f>IFERROR(__xludf.DUMMYFUNCTION("IF(REGEXMATCH(A1073, ""^00-""), 0, IF(AND(NE(F1073, """"), NE(G1073, """")), 1, 0))"),1.0)</f>
        <v>1</v>
      </c>
      <c r="R1073" s="6">
        <f t="shared" si="1"/>
        <v>1</v>
      </c>
    </row>
    <row r="1074">
      <c r="A1074" s="1" t="s">
        <v>133</v>
      </c>
      <c r="B1074" s="1" t="s">
        <v>2814</v>
      </c>
      <c r="C1074" s="1">
        <v>393.0</v>
      </c>
      <c r="D1074" s="1">
        <v>74.0</v>
      </c>
      <c r="E1074" s="1">
        <v>467.0</v>
      </c>
      <c r="F1074" s="1" t="s">
        <v>2815</v>
      </c>
      <c r="G1074" s="1" t="s">
        <v>2815</v>
      </c>
      <c r="H1074" s="1" t="s">
        <v>182</v>
      </c>
      <c r="I1074" s="1" t="s">
        <v>2275</v>
      </c>
      <c r="J1074" s="1" t="s">
        <v>2764</v>
      </c>
      <c r="K1074" s="1" t="s">
        <v>2277</v>
      </c>
      <c r="L1074" s="1"/>
      <c r="M1074" s="1" t="s">
        <v>185</v>
      </c>
      <c r="N1074" s="6">
        <f>IFERROR(__xludf.DUMMYFUNCTION("IF(REGEXMATCH(A1074, ""^00-""), 0, IF(AND(EQ(F1074, """"), EQ(G1074, """")), 1, 0))"),0.0)</f>
        <v>0</v>
      </c>
      <c r="O1074" s="6">
        <f>IFERROR(__xludf.DUMMYFUNCTION("IF(REGEXMATCH(A1074, ""^00-""), 0, IF(AND(NE(F1074, """"), EQ(G1074, """")), 1, 0))"),0.0)</f>
        <v>0</v>
      </c>
      <c r="P1074" s="6">
        <f>IFERROR(__xludf.DUMMYFUNCTION("IF(REGEXMATCH(A1074, ""^00-""), 0, IF(AND(EQ(F1074, """"), NE(G1074, """")), 1, 0))"),0.0)</f>
        <v>0</v>
      </c>
      <c r="Q1074" s="6">
        <f>IFERROR(__xludf.DUMMYFUNCTION("IF(REGEXMATCH(A1074, ""^00-""), 0, IF(AND(NE(F1074, """"), NE(G1074, """")), 1, 0))"),1.0)</f>
        <v>1</v>
      </c>
      <c r="R1074" s="6">
        <f t="shared" si="1"/>
        <v>1</v>
      </c>
    </row>
    <row r="1075">
      <c r="A1075" s="1" t="s">
        <v>133</v>
      </c>
      <c r="B1075" s="1" t="s">
        <v>2816</v>
      </c>
      <c r="C1075" s="1">
        <v>394.0</v>
      </c>
      <c r="D1075" s="1">
        <v>73.0</v>
      </c>
      <c r="E1075" s="1">
        <v>467.0</v>
      </c>
      <c r="F1075" s="1" t="s">
        <v>2817</v>
      </c>
      <c r="G1075" s="1" t="s">
        <v>2817</v>
      </c>
      <c r="H1075" s="1" t="s">
        <v>182</v>
      </c>
      <c r="I1075" s="1" t="s">
        <v>2275</v>
      </c>
      <c r="J1075" s="1" t="s">
        <v>2764</v>
      </c>
      <c r="K1075" s="1" t="s">
        <v>2277</v>
      </c>
      <c r="L1075" s="1"/>
      <c r="M1075" s="1" t="s">
        <v>185</v>
      </c>
      <c r="N1075" s="6">
        <f>IFERROR(__xludf.DUMMYFUNCTION("IF(REGEXMATCH(A1075, ""^00-""), 0, IF(AND(EQ(F1075, """"), EQ(G1075, """")), 1, 0))"),0.0)</f>
        <v>0</v>
      </c>
      <c r="O1075" s="6">
        <f>IFERROR(__xludf.DUMMYFUNCTION("IF(REGEXMATCH(A1075, ""^00-""), 0, IF(AND(NE(F1075, """"), EQ(G1075, """")), 1, 0))"),0.0)</f>
        <v>0</v>
      </c>
      <c r="P1075" s="6">
        <f>IFERROR(__xludf.DUMMYFUNCTION("IF(REGEXMATCH(A1075, ""^00-""), 0, IF(AND(EQ(F1075, """"), NE(G1075, """")), 1, 0))"),0.0)</f>
        <v>0</v>
      </c>
      <c r="Q1075" s="6">
        <f>IFERROR(__xludf.DUMMYFUNCTION("IF(REGEXMATCH(A1075, ""^00-""), 0, IF(AND(NE(F1075, """"), NE(G1075, """")), 1, 0))"),1.0)</f>
        <v>1</v>
      </c>
      <c r="R1075" s="6">
        <f t="shared" si="1"/>
        <v>1</v>
      </c>
    </row>
    <row r="1076">
      <c r="A1076" s="1" t="s">
        <v>133</v>
      </c>
      <c r="B1076" s="1" t="s">
        <v>2818</v>
      </c>
      <c r="C1076" s="1">
        <v>392.0</v>
      </c>
      <c r="D1076" s="1">
        <v>75.0</v>
      </c>
      <c r="E1076" s="1">
        <v>467.0</v>
      </c>
      <c r="F1076" s="1" t="s">
        <v>2819</v>
      </c>
      <c r="G1076" s="1" t="s">
        <v>2819</v>
      </c>
      <c r="H1076" s="1" t="s">
        <v>182</v>
      </c>
      <c r="I1076" s="1" t="s">
        <v>2275</v>
      </c>
      <c r="J1076" s="1" t="s">
        <v>2764</v>
      </c>
      <c r="K1076" s="1" t="s">
        <v>2277</v>
      </c>
      <c r="L1076" s="1"/>
      <c r="M1076" s="1" t="s">
        <v>185</v>
      </c>
      <c r="N1076" s="6">
        <f>IFERROR(__xludf.DUMMYFUNCTION("IF(REGEXMATCH(A1076, ""^00-""), 0, IF(AND(EQ(F1076, """"), EQ(G1076, """")), 1, 0))"),0.0)</f>
        <v>0</v>
      </c>
      <c r="O1076" s="6">
        <f>IFERROR(__xludf.DUMMYFUNCTION("IF(REGEXMATCH(A1076, ""^00-""), 0, IF(AND(NE(F1076, """"), EQ(G1076, """")), 1, 0))"),0.0)</f>
        <v>0</v>
      </c>
      <c r="P1076" s="6">
        <f>IFERROR(__xludf.DUMMYFUNCTION("IF(REGEXMATCH(A1076, ""^00-""), 0, IF(AND(EQ(F1076, """"), NE(G1076, """")), 1, 0))"),0.0)</f>
        <v>0</v>
      </c>
      <c r="Q1076" s="6">
        <f>IFERROR(__xludf.DUMMYFUNCTION("IF(REGEXMATCH(A1076, ""^00-""), 0, IF(AND(NE(F1076, """"), NE(G1076, """")), 1, 0))"),1.0)</f>
        <v>1</v>
      </c>
      <c r="R1076" s="6">
        <f t="shared" si="1"/>
        <v>1</v>
      </c>
    </row>
    <row r="1077">
      <c r="A1077" s="1" t="s">
        <v>133</v>
      </c>
      <c r="B1077" s="1" t="s">
        <v>2820</v>
      </c>
      <c r="C1077" s="1">
        <v>411.0</v>
      </c>
      <c r="D1077" s="1">
        <v>56.0</v>
      </c>
      <c r="E1077" s="1">
        <v>467.0</v>
      </c>
      <c r="F1077" s="1" t="s">
        <v>2821</v>
      </c>
      <c r="G1077" s="1" t="s">
        <v>2821</v>
      </c>
      <c r="H1077" s="1" t="s">
        <v>182</v>
      </c>
      <c r="I1077" s="1" t="s">
        <v>2275</v>
      </c>
      <c r="J1077" s="1" t="s">
        <v>2764</v>
      </c>
      <c r="K1077" s="1" t="s">
        <v>2277</v>
      </c>
      <c r="L1077" s="1"/>
      <c r="M1077" s="1" t="s">
        <v>185</v>
      </c>
      <c r="N1077" s="6">
        <f>IFERROR(__xludf.DUMMYFUNCTION("IF(REGEXMATCH(A1077, ""^00-""), 0, IF(AND(EQ(F1077, """"), EQ(G1077, """")), 1, 0))"),0.0)</f>
        <v>0</v>
      </c>
      <c r="O1077" s="6">
        <f>IFERROR(__xludf.DUMMYFUNCTION("IF(REGEXMATCH(A1077, ""^00-""), 0, IF(AND(NE(F1077, """"), EQ(G1077, """")), 1, 0))"),0.0)</f>
        <v>0</v>
      </c>
      <c r="P1077" s="6">
        <f>IFERROR(__xludf.DUMMYFUNCTION("IF(REGEXMATCH(A1077, ""^00-""), 0, IF(AND(EQ(F1077, """"), NE(G1077, """")), 1, 0))"),0.0)</f>
        <v>0</v>
      </c>
      <c r="Q1077" s="6">
        <f>IFERROR(__xludf.DUMMYFUNCTION("IF(REGEXMATCH(A1077, ""^00-""), 0, IF(AND(NE(F1077, """"), NE(G1077, """")), 1, 0))"),1.0)</f>
        <v>1</v>
      </c>
      <c r="R1077" s="6">
        <f t="shared" si="1"/>
        <v>1</v>
      </c>
    </row>
    <row r="1078">
      <c r="A1078" s="1" t="s">
        <v>133</v>
      </c>
      <c r="B1078" s="1" t="s">
        <v>2822</v>
      </c>
      <c r="C1078" s="1">
        <v>400.0</v>
      </c>
      <c r="D1078" s="1">
        <v>67.0</v>
      </c>
      <c r="E1078" s="1">
        <v>467.0</v>
      </c>
      <c r="F1078" s="1" t="s">
        <v>2823</v>
      </c>
      <c r="G1078" s="1" t="s">
        <v>2823</v>
      </c>
      <c r="H1078" s="1" t="s">
        <v>182</v>
      </c>
      <c r="I1078" s="1" t="s">
        <v>2275</v>
      </c>
      <c r="J1078" s="1" t="s">
        <v>2764</v>
      </c>
      <c r="K1078" s="1" t="s">
        <v>2277</v>
      </c>
      <c r="L1078" s="1"/>
      <c r="M1078" s="1" t="s">
        <v>185</v>
      </c>
      <c r="N1078" s="6">
        <f>IFERROR(__xludf.DUMMYFUNCTION("IF(REGEXMATCH(A1078, ""^00-""), 0, IF(AND(EQ(F1078, """"), EQ(G1078, """")), 1, 0))"),0.0)</f>
        <v>0</v>
      </c>
      <c r="O1078" s="6">
        <f>IFERROR(__xludf.DUMMYFUNCTION("IF(REGEXMATCH(A1078, ""^00-""), 0, IF(AND(NE(F1078, """"), EQ(G1078, """")), 1, 0))"),0.0)</f>
        <v>0</v>
      </c>
      <c r="P1078" s="6">
        <f>IFERROR(__xludf.DUMMYFUNCTION("IF(REGEXMATCH(A1078, ""^00-""), 0, IF(AND(EQ(F1078, """"), NE(G1078, """")), 1, 0))"),0.0)</f>
        <v>0</v>
      </c>
      <c r="Q1078" s="6">
        <f>IFERROR(__xludf.DUMMYFUNCTION("IF(REGEXMATCH(A1078, ""^00-""), 0, IF(AND(NE(F1078, """"), NE(G1078, """")), 1, 0))"),1.0)</f>
        <v>1</v>
      </c>
      <c r="R1078" s="6">
        <f t="shared" si="1"/>
        <v>1</v>
      </c>
    </row>
    <row r="1079">
      <c r="A1079" s="1" t="s">
        <v>133</v>
      </c>
      <c r="B1079" s="1" t="s">
        <v>2824</v>
      </c>
      <c r="C1079" s="1">
        <v>401.0</v>
      </c>
      <c r="D1079" s="1">
        <v>66.0</v>
      </c>
      <c r="E1079" s="1">
        <v>467.0</v>
      </c>
      <c r="F1079" s="1" t="s">
        <v>2825</v>
      </c>
      <c r="G1079" s="1" t="s">
        <v>2825</v>
      </c>
      <c r="H1079" s="1" t="s">
        <v>182</v>
      </c>
      <c r="I1079" s="1" t="s">
        <v>2275</v>
      </c>
      <c r="J1079" s="1" t="s">
        <v>2764</v>
      </c>
      <c r="K1079" s="1" t="s">
        <v>2277</v>
      </c>
      <c r="L1079" s="1"/>
      <c r="M1079" s="1" t="s">
        <v>185</v>
      </c>
      <c r="N1079" s="6">
        <f>IFERROR(__xludf.DUMMYFUNCTION("IF(REGEXMATCH(A1079, ""^00-""), 0, IF(AND(EQ(F1079, """"), EQ(G1079, """")), 1, 0))"),0.0)</f>
        <v>0</v>
      </c>
      <c r="O1079" s="6">
        <f>IFERROR(__xludf.DUMMYFUNCTION("IF(REGEXMATCH(A1079, ""^00-""), 0, IF(AND(NE(F1079, """"), EQ(G1079, """")), 1, 0))"),0.0)</f>
        <v>0</v>
      </c>
      <c r="P1079" s="6">
        <f>IFERROR(__xludf.DUMMYFUNCTION("IF(REGEXMATCH(A1079, ""^00-""), 0, IF(AND(EQ(F1079, """"), NE(G1079, """")), 1, 0))"),0.0)</f>
        <v>0</v>
      </c>
      <c r="Q1079" s="6">
        <f>IFERROR(__xludf.DUMMYFUNCTION("IF(REGEXMATCH(A1079, ""^00-""), 0, IF(AND(NE(F1079, """"), NE(G1079, """")), 1, 0))"),1.0)</f>
        <v>1</v>
      </c>
      <c r="R1079" s="6">
        <f t="shared" si="1"/>
        <v>1</v>
      </c>
    </row>
    <row r="1080">
      <c r="A1080" s="1" t="s">
        <v>133</v>
      </c>
      <c r="B1080" s="1" t="s">
        <v>2826</v>
      </c>
      <c r="C1080" s="1">
        <v>395.0</v>
      </c>
      <c r="D1080" s="1">
        <v>72.0</v>
      </c>
      <c r="E1080" s="1">
        <v>467.0</v>
      </c>
      <c r="F1080" s="1" t="s">
        <v>2827</v>
      </c>
      <c r="G1080" s="1" t="s">
        <v>2827</v>
      </c>
      <c r="H1080" s="1" t="s">
        <v>182</v>
      </c>
      <c r="I1080" s="1" t="s">
        <v>2275</v>
      </c>
      <c r="J1080" s="1" t="s">
        <v>2764</v>
      </c>
      <c r="K1080" s="1" t="s">
        <v>2277</v>
      </c>
      <c r="L1080" s="1"/>
      <c r="M1080" s="1" t="s">
        <v>185</v>
      </c>
      <c r="N1080" s="6">
        <f>IFERROR(__xludf.DUMMYFUNCTION("IF(REGEXMATCH(A1080, ""^00-""), 0, IF(AND(EQ(F1080, """"), EQ(G1080, """")), 1, 0))"),0.0)</f>
        <v>0</v>
      </c>
      <c r="O1080" s="6">
        <f>IFERROR(__xludf.DUMMYFUNCTION("IF(REGEXMATCH(A1080, ""^00-""), 0, IF(AND(NE(F1080, """"), EQ(G1080, """")), 1, 0))"),0.0)</f>
        <v>0</v>
      </c>
      <c r="P1080" s="6">
        <f>IFERROR(__xludf.DUMMYFUNCTION("IF(REGEXMATCH(A1080, ""^00-""), 0, IF(AND(EQ(F1080, """"), NE(G1080, """")), 1, 0))"),0.0)</f>
        <v>0</v>
      </c>
      <c r="Q1080" s="6">
        <f>IFERROR(__xludf.DUMMYFUNCTION("IF(REGEXMATCH(A1080, ""^00-""), 0, IF(AND(NE(F1080, """"), NE(G1080, """")), 1, 0))"),1.0)</f>
        <v>1</v>
      </c>
      <c r="R1080" s="6">
        <f t="shared" si="1"/>
        <v>1</v>
      </c>
    </row>
    <row r="1081">
      <c r="A1081" s="1" t="s">
        <v>133</v>
      </c>
      <c r="B1081" s="1" t="s">
        <v>2828</v>
      </c>
      <c r="C1081" s="1">
        <v>396.0</v>
      </c>
      <c r="D1081" s="1">
        <v>71.0</v>
      </c>
      <c r="E1081" s="1">
        <v>467.0</v>
      </c>
      <c r="F1081" s="1" t="s">
        <v>2829</v>
      </c>
      <c r="G1081" s="1" t="s">
        <v>2829</v>
      </c>
      <c r="H1081" s="1" t="s">
        <v>182</v>
      </c>
      <c r="I1081" s="1" t="s">
        <v>2275</v>
      </c>
      <c r="J1081" s="1" t="s">
        <v>2764</v>
      </c>
      <c r="K1081" s="1" t="s">
        <v>2277</v>
      </c>
      <c r="L1081" s="1"/>
      <c r="M1081" s="1" t="s">
        <v>185</v>
      </c>
      <c r="N1081" s="6">
        <f>IFERROR(__xludf.DUMMYFUNCTION("IF(REGEXMATCH(A1081, ""^00-""), 0, IF(AND(EQ(F1081, """"), EQ(G1081, """")), 1, 0))"),0.0)</f>
        <v>0</v>
      </c>
      <c r="O1081" s="6">
        <f>IFERROR(__xludf.DUMMYFUNCTION("IF(REGEXMATCH(A1081, ""^00-""), 0, IF(AND(NE(F1081, """"), EQ(G1081, """")), 1, 0))"),0.0)</f>
        <v>0</v>
      </c>
      <c r="P1081" s="6">
        <f>IFERROR(__xludf.DUMMYFUNCTION("IF(REGEXMATCH(A1081, ""^00-""), 0, IF(AND(EQ(F1081, """"), NE(G1081, """")), 1, 0))"),0.0)</f>
        <v>0</v>
      </c>
      <c r="Q1081" s="6">
        <f>IFERROR(__xludf.DUMMYFUNCTION("IF(REGEXMATCH(A1081, ""^00-""), 0, IF(AND(NE(F1081, """"), NE(G1081, """")), 1, 0))"),1.0)</f>
        <v>1</v>
      </c>
      <c r="R1081" s="6">
        <f t="shared" si="1"/>
        <v>1</v>
      </c>
    </row>
    <row r="1082">
      <c r="A1082" s="1" t="s">
        <v>133</v>
      </c>
      <c r="B1082" s="1" t="s">
        <v>2830</v>
      </c>
      <c r="C1082" s="1">
        <v>395.0</v>
      </c>
      <c r="D1082" s="1">
        <v>72.0</v>
      </c>
      <c r="E1082" s="1">
        <v>467.0</v>
      </c>
      <c r="F1082" s="1" t="s">
        <v>2831</v>
      </c>
      <c r="G1082" s="1" t="s">
        <v>2831</v>
      </c>
      <c r="H1082" s="1" t="s">
        <v>182</v>
      </c>
      <c r="I1082" s="1" t="s">
        <v>2275</v>
      </c>
      <c r="J1082" s="1" t="s">
        <v>2764</v>
      </c>
      <c r="K1082" s="1" t="s">
        <v>2277</v>
      </c>
      <c r="L1082" s="1"/>
      <c r="M1082" s="1" t="s">
        <v>185</v>
      </c>
      <c r="N1082" s="6">
        <f>IFERROR(__xludf.DUMMYFUNCTION("IF(REGEXMATCH(A1082, ""^00-""), 0, IF(AND(EQ(F1082, """"), EQ(G1082, """")), 1, 0))"),0.0)</f>
        <v>0</v>
      </c>
      <c r="O1082" s="6">
        <f>IFERROR(__xludf.DUMMYFUNCTION("IF(REGEXMATCH(A1082, ""^00-""), 0, IF(AND(NE(F1082, """"), EQ(G1082, """")), 1, 0))"),0.0)</f>
        <v>0</v>
      </c>
      <c r="P1082" s="6">
        <f>IFERROR(__xludf.DUMMYFUNCTION("IF(REGEXMATCH(A1082, ""^00-""), 0, IF(AND(EQ(F1082, """"), NE(G1082, """")), 1, 0))"),0.0)</f>
        <v>0</v>
      </c>
      <c r="Q1082" s="6">
        <f>IFERROR(__xludf.DUMMYFUNCTION("IF(REGEXMATCH(A1082, ""^00-""), 0, IF(AND(NE(F1082, """"), NE(G1082, """")), 1, 0))"),1.0)</f>
        <v>1</v>
      </c>
      <c r="R1082" s="6">
        <f t="shared" si="1"/>
        <v>1</v>
      </c>
    </row>
    <row r="1083">
      <c r="A1083" s="1" t="s">
        <v>133</v>
      </c>
      <c r="B1083" s="1" t="s">
        <v>2832</v>
      </c>
      <c r="C1083" s="1">
        <v>415.0</v>
      </c>
      <c r="D1083" s="1">
        <v>52.0</v>
      </c>
      <c r="E1083" s="1">
        <v>467.0</v>
      </c>
      <c r="F1083" s="1" t="s">
        <v>2833</v>
      </c>
      <c r="G1083" s="1" t="s">
        <v>2833</v>
      </c>
      <c r="H1083" s="1" t="s">
        <v>182</v>
      </c>
      <c r="I1083" s="1" t="s">
        <v>2275</v>
      </c>
      <c r="J1083" s="1" t="s">
        <v>2764</v>
      </c>
      <c r="K1083" s="1" t="s">
        <v>2277</v>
      </c>
      <c r="L1083" s="1"/>
      <c r="M1083" s="1" t="s">
        <v>185</v>
      </c>
      <c r="N1083" s="6">
        <f>IFERROR(__xludf.DUMMYFUNCTION("IF(REGEXMATCH(A1083, ""^00-""), 0, IF(AND(EQ(F1083, """"), EQ(G1083, """")), 1, 0))"),0.0)</f>
        <v>0</v>
      </c>
      <c r="O1083" s="6">
        <f>IFERROR(__xludf.DUMMYFUNCTION("IF(REGEXMATCH(A1083, ""^00-""), 0, IF(AND(NE(F1083, """"), EQ(G1083, """")), 1, 0))"),0.0)</f>
        <v>0</v>
      </c>
      <c r="P1083" s="6">
        <f>IFERROR(__xludf.DUMMYFUNCTION("IF(REGEXMATCH(A1083, ""^00-""), 0, IF(AND(EQ(F1083, """"), NE(G1083, """")), 1, 0))"),0.0)</f>
        <v>0</v>
      </c>
      <c r="Q1083" s="6">
        <f>IFERROR(__xludf.DUMMYFUNCTION("IF(REGEXMATCH(A1083, ""^00-""), 0, IF(AND(NE(F1083, """"), NE(G1083, """")), 1, 0))"),1.0)</f>
        <v>1</v>
      </c>
      <c r="R1083" s="6">
        <f t="shared" si="1"/>
        <v>1</v>
      </c>
    </row>
    <row r="1084">
      <c r="A1084" s="1" t="s">
        <v>133</v>
      </c>
      <c r="B1084" s="1" t="s">
        <v>2834</v>
      </c>
      <c r="C1084" s="1">
        <v>421.0</v>
      </c>
      <c r="D1084" s="1">
        <v>46.0</v>
      </c>
      <c r="E1084" s="1">
        <v>467.0</v>
      </c>
      <c r="F1084" s="1" t="s">
        <v>2835</v>
      </c>
      <c r="G1084" s="1" t="s">
        <v>2835</v>
      </c>
      <c r="H1084" s="1" t="s">
        <v>190</v>
      </c>
      <c r="I1084" s="1" t="s">
        <v>2275</v>
      </c>
      <c r="J1084" s="1" t="s">
        <v>2764</v>
      </c>
      <c r="K1084" s="1" t="s">
        <v>2277</v>
      </c>
      <c r="L1084" s="1"/>
      <c r="M1084" s="1" t="s">
        <v>191</v>
      </c>
      <c r="N1084" s="6">
        <f>IFERROR(__xludf.DUMMYFUNCTION("IF(REGEXMATCH(A1084, ""^00-""), 0, IF(AND(EQ(F1084, """"), EQ(G1084, """")), 1, 0))"),0.0)</f>
        <v>0</v>
      </c>
      <c r="O1084" s="6">
        <f>IFERROR(__xludf.DUMMYFUNCTION("IF(REGEXMATCH(A1084, ""^00-""), 0, IF(AND(NE(F1084, """"), EQ(G1084, """")), 1, 0))"),0.0)</f>
        <v>0</v>
      </c>
      <c r="P1084" s="6">
        <f>IFERROR(__xludf.DUMMYFUNCTION("IF(REGEXMATCH(A1084, ""^00-""), 0, IF(AND(EQ(F1084, """"), NE(G1084, """")), 1, 0))"),0.0)</f>
        <v>0</v>
      </c>
      <c r="Q1084" s="6">
        <f>IFERROR(__xludf.DUMMYFUNCTION("IF(REGEXMATCH(A1084, ""^00-""), 0, IF(AND(NE(F1084, """"), NE(G1084, """")), 1, 0))"),1.0)</f>
        <v>1</v>
      </c>
      <c r="R1084" s="6">
        <f t="shared" si="1"/>
        <v>1</v>
      </c>
    </row>
    <row r="1085">
      <c r="A1085" s="1" t="s">
        <v>133</v>
      </c>
      <c r="B1085" s="1" t="s">
        <v>2836</v>
      </c>
      <c r="C1085" s="1">
        <v>44.0</v>
      </c>
      <c r="D1085" s="1">
        <v>423.0</v>
      </c>
      <c r="E1085" s="1">
        <v>467.0</v>
      </c>
      <c r="F1085" s="1" t="s">
        <v>2837</v>
      </c>
      <c r="G1085" s="1" t="s">
        <v>2837</v>
      </c>
      <c r="H1085" s="1" t="s">
        <v>190</v>
      </c>
      <c r="I1085" s="1" t="s">
        <v>2275</v>
      </c>
      <c r="J1085" s="1" t="s">
        <v>2764</v>
      </c>
      <c r="K1085" s="1" t="s">
        <v>2277</v>
      </c>
      <c r="L1085" s="1"/>
      <c r="M1085" s="1" t="s">
        <v>191</v>
      </c>
      <c r="N1085" s="6">
        <f>IFERROR(__xludf.DUMMYFUNCTION("IF(REGEXMATCH(A1085, ""^00-""), 0, IF(AND(EQ(F1085, """"), EQ(G1085, """")), 1, 0))"),0.0)</f>
        <v>0</v>
      </c>
      <c r="O1085" s="6">
        <f>IFERROR(__xludf.DUMMYFUNCTION("IF(REGEXMATCH(A1085, ""^00-""), 0, IF(AND(NE(F1085, """"), EQ(G1085, """")), 1, 0))"),0.0)</f>
        <v>0</v>
      </c>
      <c r="P1085" s="6">
        <f>IFERROR(__xludf.DUMMYFUNCTION("IF(REGEXMATCH(A1085, ""^00-""), 0, IF(AND(EQ(F1085, """"), NE(G1085, """")), 1, 0))"),0.0)</f>
        <v>0</v>
      </c>
      <c r="Q1085" s="6">
        <f>IFERROR(__xludf.DUMMYFUNCTION("IF(REGEXMATCH(A1085, ""^00-""), 0, IF(AND(NE(F1085, """"), NE(G1085, """")), 1, 0))"),1.0)</f>
        <v>1</v>
      </c>
      <c r="R1085" s="6">
        <f t="shared" si="1"/>
        <v>1</v>
      </c>
    </row>
    <row r="1086">
      <c r="A1086" s="1" t="s">
        <v>133</v>
      </c>
      <c r="B1086" s="1" t="s">
        <v>2838</v>
      </c>
      <c r="C1086" s="1">
        <v>421.0</v>
      </c>
      <c r="D1086" s="1">
        <v>46.0</v>
      </c>
      <c r="E1086" s="1">
        <v>467.0</v>
      </c>
      <c r="F1086" s="1" t="s">
        <v>2839</v>
      </c>
      <c r="G1086" s="1" t="s">
        <v>2839</v>
      </c>
      <c r="H1086" s="1" t="s">
        <v>190</v>
      </c>
      <c r="I1086" s="1" t="s">
        <v>2275</v>
      </c>
      <c r="J1086" s="1" t="s">
        <v>2764</v>
      </c>
      <c r="K1086" s="1" t="s">
        <v>2277</v>
      </c>
      <c r="L1086" s="1"/>
      <c r="M1086" s="1" t="s">
        <v>191</v>
      </c>
      <c r="N1086" s="6">
        <f>IFERROR(__xludf.DUMMYFUNCTION("IF(REGEXMATCH(A1086, ""^00-""), 0, IF(AND(EQ(F1086, """"), EQ(G1086, """")), 1, 0))"),0.0)</f>
        <v>0</v>
      </c>
      <c r="O1086" s="6">
        <f>IFERROR(__xludf.DUMMYFUNCTION("IF(REGEXMATCH(A1086, ""^00-""), 0, IF(AND(NE(F1086, """"), EQ(G1086, """")), 1, 0))"),0.0)</f>
        <v>0</v>
      </c>
      <c r="P1086" s="6">
        <f>IFERROR(__xludf.DUMMYFUNCTION("IF(REGEXMATCH(A1086, ""^00-""), 0, IF(AND(EQ(F1086, """"), NE(G1086, """")), 1, 0))"),0.0)</f>
        <v>0</v>
      </c>
      <c r="Q1086" s="6">
        <f>IFERROR(__xludf.DUMMYFUNCTION("IF(REGEXMATCH(A1086, ""^00-""), 0, IF(AND(NE(F1086, """"), NE(G1086, """")), 1, 0))"),1.0)</f>
        <v>1</v>
      </c>
      <c r="R1086" s="6">
        <f t="shared" si="1"/>
        <v>1</v>
      </c>
    </row>
    <row r="1087">
      <c r="A1087" s="1" t="s">
        <v>133</v>
      </c>
      <c r="B1087" s="1" t="s">
        <v>2840</v>
      </c>
      <c r="C1087" s="1">
        <v>422.0</v>
      </c>
      <c r="D1087" s="1">
        <v>45.0</v>
      </c>
      <c r="E1087" s="1">
        <v>467.0</v>
      </c>
      <c r="F1087" s="1" t="s">
        <v>2841</v>
      </c>
      <c r="G1087" s="1" t="s">
        <v>2841</v>
      </c>
      <c r="H1087" s="1" t="s">
        <v>235</v>
      </c>
      <c r="I1087" s="1" t="s">
        <v>2275</v>
      </c>
      <c r="J1087" s="1" t="s">
        <v>2764</v>
      </c>
      <c r="K1087" s="1" t="s">
        <v>2277</v>
      </c>
      <c r="L1087" s="1"/>
      <c r="M1087" s="1" t="s">
        <v>2426</v>
      </c>
      <c r="N1087" s="6">
        <f>IFERROR(__xludf.DUMMYFUNCTION("IF(REGEXMATCH(A1087, ""^00-""), 0, IF(AND(EQ(F1087, """"), EQ(G1087, """")), 1, 0))"),0.0)</f>
        <v>0</v>
      </c>
      <c r="O1087" s="6">
        <f>IFERROR(__xludf.DUMMYFUNCTION("IF(REGEXMATCH(A1087, ""^00-""), 0, IF(AND(NE(F1087, """"), EQ(G1087, """")), 1, 0))"),0.0)</f>
        <v>0</v>
      </c>
      <c r="P1087" s="6">
        <f>IFERROR(__xludf.DUMMYFUNCTION("IF(REGEXMATCH(A1087, ""^00-""), 0, IF(AND(EQ(F1087, """"), NE(G1087, """")), 1, 0))"),0.0)</f>
        <v>0</v>
      </c>
      <c r="Q1087" s="6">
        <f>IFERROR(__xludf.DUMMYFUNCTION("IF(REGEXMATCH(A1087, ""^00-""), 0, IF(AND(NE(F1087, """"), NE(G1087, """")), 1, 0))"),1.0)</f>
        <v>1</v>
      </c>
      <c r="R1087" s="6">
        <f t="shared" si="1"/>
        <v>1</v>
      </c>
    </row>
    <row r="1088">
      <c r="A1088" s="1" t="s">
        <v>133</v>
      </c>
      <c r="B1088" s="1" t="s">
        <v>2842</v>
      </c>
      <c r="C1088" s="1">
        <v>423.0</v>
      </c>
      <c r="D1088" s="1">
        <v>44.0</v>
      </c>
      <c r="E1088" s="1">
        <v>467.0</v>
      </c>
      <c r="F1088" s="1" t="s">
        <v>2843</v>
      </c>
      <c r="G1088" s="1" t="s">
        <v>2843</v>
      </c>
      <c r="H1088" s="1" t="s">
        <v>250</v>
      </c>
      <c r="I1088" s="1" t="s">
        <v>2275</v>
      </c>
      <c r="J1088" s="1" t="s">
        <v>2764</v>
      </c>
      <c r="K1088" s="1" t="s">
        <v>2277</v>
      </c>
      <c r="L1088" s="1"/>
      <c r="M1088" s="1" t="s">
        <v>250</v>
      </c>
      <c r="N1088" s="6">
        <f>IFERROR(__xludf.DUMMYFUNCTION("IF(REGEXMATCH(A1088, ""^00-""), 0, IF(AND(EQ(F1088, """"), EQ(G1088, """")), 1, 0))"),0.0)</f>
        <v>0</v>
      </c>
      <c r="O1088" s="6">
        <f>IFERROR(__xludf.DUMMYFUNCTION("IF(REGEXMATCH(A1088, ""^00-""), 0, IF(AND(NE(F1088, """"), EQ(G1088, """")), 1, 0))"),0.0)</f>
        <v>0</v>
      </c>
      <c r="P1088" s="6">
        <f>IFERROR(__xludf.DUMMYFUNCTION("IF(REGEXMATCH(A1088, ""^00-""), 0, IF(AND(EQ(F1088, """"), NE(G1088, """")), 1, 0))"),0.0)</f>
        <v>0</v>
      </c>
      <c r="Q1088" s="6">
        <f>IFERROR(__xludf.DUMMYFUNCTION("IF(REGEXMATCH(A1088, ""^00-""), 0, IF(AND(NE(F1088, """"), NE(G1088, """")), 1, 0))"),1.0)</f>
        <v>1</v>
      </c>
      <c r="R1088" s="6">
        <f t="shared" si="1"/>
        <v>1</v>
      </c>
    </row>
    <row r="1089">
      <c r="A1089" s="1" t="s">
        <v>135</v>
      </c>
      <c r="B1089" s="1" t="s">
        <v>2844</v>
      </c>
      <c r="C1089" s="1">
        <v>426.0</v>
      </c>
      <c r="D1089" s="1">
        <v>41.0</v>
      </c>
      <c r="E1089" s="1">
        <v>467.0</v>
      </c>
      <c r="F1089" s="1" t="s">
        <v>2845</v>
      </c>
      <c r="G1089" s="1" t="s">
        <v>2845</v>
      </c>
      <c r="H1089" s="1" t="s">
        <v>269</v>
      </c>
      <c r="I1089" s="1" t="s">
        <v>2275</v>
      </c>
      <c r="J1089" s="1" t="s">
        <v>2846</v>
      </c>
      <c r="K1089" s="1" t="s">
        <v>2277</v>
      </c>
      <c r="L1089" s="1"/>
      <c r="M1089" s="1" t="s">
        <v>2844</v>
      </c>
      <c r="N1089" s="6">
        <f>IFERROR(__xludf.DUMMYFUNCTION("IF(REGEXMATCH(A1089, ""^00-""), 0, IF(AND(EQ(F1089, """"), EQ(G1089, """")), 1, 0))"),0.0)</f>
        <v>0</v>
      </c>
      <c r="O1089" s="6">
        <f>IFERROR(__xludf.DUMMYFUNCTION("IF(REGEXMATCH(A1089, ""^00-""), 0, IF(AND(NE(F1089, """"), EQ(G1089, """")), 1, 0))"),0.0)</f>
        <v>0</v>
      </c>
      <c r="P1089" s="6">
        <f>IFERROR(__xludf.DUMMYFUNCTION("IF(REGEXMATCH(A1089, ""^00-""), 0, IF(AND(EQ(F1089, """"), NE(G1089, """")), 1, 0))"),0.0)</f>
        <v>0</v>
      </c>
      <c r="Q1089" s="6">
        <f>IFERROR(__xludf.DUMMYFUNCTION("IF(REGEXMATCH(A1089, ""^00-""), 0, IF(AND(NE(F1089, """"), NE(G1089, """")), 1, 0))"),1.0)</f>
        <v>1</v>
      </c>
      <c r="R1089" s="6">
        <f t="shared" si="1"/>
        <v>1</v>
      </c>
    </row>
    <row r="1090">
      <c r="A1090" s="1" t="s">
        <v>137</v>
      </c>
      <c r="B1090" s="1" t="s">
        <v>2847</v>
      </c>
      <c r="C1090" s="1">
        <v>0.0</v>
      </c>
      <c r="D1090" s="1">
        <v>467.0</v>
      </c>
      <c r="E1090" s="1">
        <v>467.0</v>
      </c>
      <c r="F1090" s="1" t="s">
        <v>2848</v>
      </c>
      <c r="G1090" s="1" t="s">
        <v>2848</v>
      </c>
      <c r="H1090" s="1" t="s">
        <v>250</v>
      </c>
      <c r="I1090" s="1" t="s">
        <v>2275</v>
      </c>
      <c r="J1090" s="1" t="s">
        <v>1877</v>
      </c>
      <c r="K1090" s="1" t="s">
        <v>2277</v>
      </c>
      <c r="L1090" s="1"/>
      <c r="M1090" s="1" t="s">
        <v>250</v>
      </c>
      <c r="N1090" s="6">
        <f>IFERROR(__xludf.DUMMYFUNCTION("IF(REGEXMATCH(A1090, ""^00-""), 0, IF(AND(EQ(F1090, """"), EQ(G1090, """")), 1, 0))"),0.0)</f>
        <v>0</v>
      </c>
      <c r="O1090" s="6">
        <f>IFERROR(__xludf.DUMMYFUNCTION("IF(REGEXMATCH(A1090, ""^00-""), 0, IF(AND(NE(F1090, """"), EQ(G1090, """")), 1, 0))"),0.0)</f>
        <v>0</v>
      </c>
      <c r="P1090" s="6">
        <f>IFERROR(__xludf.DUMMYFUNCTION("IF(REGEXMATCH(A1090, ""^00-""), 0, IF(AND(EQ(F1090, """"), NE(G1090, """")), 1, 0))"),0.0)</f>
        <v>0</v>
      </c>
      <c r="Q1090" s="6">
        <f>IFERROR(__xludf.DUMMYFUNCTION("IF(REGEXMATCH(A1090, ""^00-""), 0, IF(AND(NE(F1090, """"), NE(G1090, """")), 1, 0))"),1.0)</f>
        <v>1</v>
      </c>
      <c r="R1090" s="6">
        <f t="shared" si="1"/>
        <v>1</v>
      </c>
    </row>
    <row r="1091">
      <c r="A1091" s="1" t="s">
        <v>137</v>
      </c>
      <c r="B1091" s="1" t="s">
        <v>2849</v>
      </c>
      <c r="C1091" s="1">
        <v>467.0</v>
      </c>
      <c r="D1091" s="1">
        <v>0.0</v>
      </c>
      <c r="E1091" s="1">
        <v>467.0</v>
      </c>
      <c r="F1091" s="1" t="s">
        <v>2850</v>
      </c>
      <c r="G1091" s="1" t="s">
        <v>2850</v>
      </c>
      <c r="H1091" s="1" t="s">
        <v>250</v>
      </c>
      <c r="I1091" s="1" t="s">
        <v>2275</v>
      </c>
      <c r="J1091" s="1" t="s">
        <v>1877</v>
      </c>
      <c r="K1091" s="1" t="s">
        <v>2277</v>
      </c>
      <c r="L1091" s="1"/>
      <c r="M1091" s="1" t="s">
        <v>250</v>
      </c>
      <c r="N1091" s="6">
        <f>IFERROR(__xludf.DUMMYFUNCTION("IF(REGEXMATCH(A1091, ""^00-""), 0, IF(AND(EQ(F1091, """"), EQ(G1091, """")), 1, 0))"),0.0)</f>
        <v>0</v>
      </c>
      <c r="O1091" s="6">
        <f>IFERROR(__xludf.DUMMYFUNCTION("IF(REGEXMATCH(A1091, ""^00-""), 0, IF(AND(NE(F1091, """"), EQ(G1091, """")), 1, 0))"),0.0)</f>
        <v>0</v>
      </c>
      <c r="P1091" s="6">
        <f>IFERROR(__xludf.DUMMYFUNCTION("IF(REGEXMATCH(A1091, ""^00-""), 0, IF(AND(EQ(F1091, """"), NE(G1091, """")), 1, 0))"),0.0)</f>
        <v>0</v>
      </c>
      <c r="Q1091" s="6">
        <f>IFERROR(__xludf.DUMMYFUNCTION("IF(REGEXMATCH(A1091, ""^00-""), 0, IF(AND(NE(F1091, """"), NE(G1091, """")), 1, 0))"),1.0)</f>
        <v>1</v>
      </c>
      <c r="R1091" s="6">
        <f t="shared" si="1"/>
        <v>1</v>
      </c>
    </row>
    <row r="1092">
      <c r="A1092" s="1" t="s">
        <v>137</v>
      </c>
      <c r="B1092" s="1" t="s">
        <v>2851</v>
      </c>
      <c r="C1092" s="1">
        <v>467.0</v>
      </c>
      <c r="D1092" s="1">
        <v>0.0</v>
      </c>
      <c r="E1092" s="1">
        <v>467.0</v>
      </c>
      <c r="F1092" s="1" t="s">
        <v>2852</v>
      </c>
      <c r="G1092" s="1" t="s">
        <v>2852</v>
      </c>
      <c r="H1092" s="1" t="s">
        <v>235</v>
      </c>
      <c r="I1092" s="1" t="s">
        <v>2275</v>
      </c>
      <c r="J1092" s="1" t="s">
        <v>1877</v>
      </c>
      <c r="K1092" s="1" t="s">
        <v>2277</v>
      </c>
      <c r="L1092" s="1"/>
      <c r="M1092" s="1" t="s">
        <v>2853</v>
      </c>
      <c r="N1092" s="6">
        <f>IFERROR(__xludf.DUMMYFUNCTION("IF(REGEXMATCH(A1092, ""^00-""), 0, IF(AND(EQ(F1092, """"), EQ(G1092, """")), 1, 0))"),0.0)</f>
        <v>0</v>
      </c>
      <c r="O1092" s="6">
        <f>IFERROR(__xludf.DUMMYFUNCTION("IF(REGEXMATCH(A1092, ""^00-""), 0, IF(AND(NE(F1092, """"), EQ(G1092, """")), 1, 0))"),0.0)</f>
        <v>0</v>
      </c>
      <c r="P1092" s="6">
        <f>IFERROR(__xludf.DUMMYFUNCTION("IF(REGEXMATCH(A1092, ""^00-""), 0, IF(AND(EQ(F1092, """"), NE(G1092, """")), 1, 0))"),0.0)</f>
        <v>0</v>
      </c>
      <c r="Q1092" s="6">
        <f>IFERROR(__xludf.DUMMYFUNCTION("IF(REGEXMATCH(A1092, ""^00-""), 0, IF(AND(NE(F1092, """"), NE(G1092, """")), 1, 0))"),1.0)</f>
        <v>1</v>
      </c>
      <c r="R1092" s="6">
        <f t="shared" si="1"/>
        <v>1</v>
      </c>
    </row>
    <row r="1093">
      <c r="A1093" s="1" t="s">
        <v>137</v>
      </c>
      <c r="B1093" s="1" t="s">
        <v>1908</v>
      </c>
      <c r="C1093" s="1">
        <v>9.0</v>
      </c>
      <c r="D1093" s="1">
        <v>458.0</v>
      </c>
      <c r="E1093" s="1">
        <v>467.0</v>
      </c>
      <c r="F1093" s="1" t="s">
        <v>2854</v>
      </c>
      <c r="G1093" s="1" t="s">
        <v>2854</v>
      </c>
      <c r="H1093" s="1" t="s">
        <v>250</v>
      </c>
      <c r="I1093" s="1" t="s">
        <v>2275</v>
      </c>
      <c r="J1093" s="1" t="s">
        <v>1877</v>
      </c>
      <c r="K1093" s="1" t="s">
        <v>2277</v>
      </c>
      <c r="L1093" s="1"/>
      <c r="M1093" s="1" t="s">
        <v>250</v>
      </c>
      <c r="N1093" s="6">
        <f>IFERROR(__xludf.DUMMYFUNCTION("IF(REGEXMATCH(A1093, ""^00-""), 0, IF(AND(EQ(F1093, """"), EQ(G1093, """")), 1, 0))"),0.0)</f>
        <v>0</v>
      </c>
      <c r="O1093" s="6">
        <f>IFERROR(__xludf.DUMMYFUNCTION("IF(REGEXMATCH(A1093, ""^00-""), 0, IF(AND(NE(F1093, """"), EQ(G1093, """")), 1, 0))"),0.0)</f>
        <v>0</v>
      </c>
      <c r="P1093" s="6">
        <f>IFERROR(__xludf.DUMMYFUNCTION("IF(REGEXMATCH(A1093, ""^00-""), 0, IF(AND(EQ(F1093, """"), NE(G1093, """")), 1, 0))"),0.0)</f>
        <v>0</v>
      </c>
      <c r="Q1093" s="6">
        <f>IFERROR(__xludf.DUMMYFUNCTION("IF(REGEXMATCH(A1093, ""^00-""), 0, IF(AND(NE(F1093, """"), NE(G1093, """")), 1, 0))"),1.0)</f>
        <v>1</v>
      </c>
      <c r="R1093" s="6">
        <f t="shared" si="1"/>
        <v>1</v>
      </c>
    </row>
    <row r="1094">
      <c r="A1094" s="1" t="s">
        <v>137</v>
      </c>
      <c r="B1094" s="1" t="s">
        <v>1919</v>
      </c>
      <c r="C1094" s="1">
        <v>7.0</v>
      </c>
      <c r="D1094" s="1">
        <v>460.0</v>
      </c>
      <c r="E1094" s="1">
        <v>467.0</v>
      </c>
      <c r="F1094" s="1"/>
      <c r="G1094" s="1" t="s">
        <v>2855</v>
      </c>
      <c r="H1094" s="1" t="s">
        <v>235</v>
      </c>
      <c r="I1094" s="1" t="s">
        <v>2275</v>
      </c>
      <c r="J1094" s="1" t="s">
        <v>1877</v>
      </c>
      <c r="K1094" s="1" t="s">
        <v>2277</v>
      </c>
      <c r="L1094" s="1"/>
      <c r="M1094" s="1" t="s">
        <v>1919</v>
      </c>
      <c r="N1094" s="6">
        <f>IFERROR(__xludf.DUMMYFUNCTION("IF(REGEXMATCH(A1094, ""^00-""), 0, IF(AND(EQ(F1094, """"), EQ(G1094, """")), 1, 0))"),0.0)</f>
        <v>0</v>
      </c>
      <c r="O1094" s="6">
        <f>IFERROR(__xludf.DUMMYFUNCTION("IF(REGEXMATCH(A1094, ""^00-""), 0, IF(AND(NE(F1094, """"), EQ(G1094, """")), 1, 0))"),0.0)</f>
        <v>0</v>
      </c>
      <c r="P1094" s="6">
        <f>IFERROR(__xludf.DUMMYFUNCTION("IF(REGEXMATCH(A1094, ""^00-""), 0, IF(AND(EQ(F1094, """"), NE(G1094, """")), 1, 0))"),1.0)</f>
        <v>1</v>
      </c>
      <c r="Q1094" s="6">
        <f>IFERROR(__xludf.DUMMYFUNCTION("IF(REGEXMATCH(A1094, ""^00-""), 0, IF(AND(NE(F1094, """"), NE(G1094, """")), 1, 0))"),0.0)</f>
        <v>0</v>
      </c>
      <c r="R1094" s="6">
        <f t="shared" si="1"/>
        <v>1</v>
      </c>
    </row>
    <row r="1095">
      <c r="A1095" s="1" t="s">
        <v>137</v>
      </c>
      <c r="B1095" s="1" t="s">
        <v>2856</v>
      </c>
      <c r="C1095" s="1">
        <v>30.0</v>
      </c>
      <c r="D1095" s="1">
        <v>437.0</v>
      </c>
      <c r="E1095" s="1">
        <v>467.0</v>
      </c>
      <c r="F1095" s="1" t="s">
        <v>2857</v>
      </c>
      <c r="G1095" s="1" t="s">
        <v>2857</v>
      </c>
      <c r="H1095" s="1" t="s">
        <v>235</v>
      </c>
      <c r="I1095" s="1" t="s">
        <v>2275</v>
      </c>
      <c r="J1095" s="1" t="s">
        <v>1877</v>
      </c>
      <c r="K1095" s="1" t="s">
        <v>2277</v>
      </c>
      <c r="L1095" s="1"/>
      <c r="M1095" s="1" t="s">
        <v>2856</v>
      </c>
      <c r="N1095" s="6">
        <f>IFERROR(__xludf.DUMMYFUNCTION("IF(REGEXMATCH(A1095, ""^00-""), 0, IF(AND(EQ(F1095, """"), EQ(G1095, """")), 1, 0))"),0.0)</f>
        <v>0</v>
      </c>
      <c r="O1095" s="6">
        <f>IFERROR(__xludf.DUMMYFUNCTION("IF(REGEXMATCH(A1095, ""^00-""), 0, IF(AND(NE(F1095, """"), EQ(G1095, """")), 1, 0))"),0.0)</f>
        <v>0</v>
      </c>
      <c r="P1095" s="6">
        <f>IFERROR(__xludf.DUMMYFUNCTION("IF(REGEXMATCH(A1095, ""^00-""), 0, IF(AND(EQ(F1095, """"), NE(G1095, """")), 1, 0))"),0.0)</f>
        <v>0</v>
      </c>
      <c r="Q1095" s="6">
        <f>IFERROR(__xludf.DUMMYFUNCTION("IF(REGEXMATCH(A1095, ""^00-""), 0, IF(AND(NE(F1095, """"), NE(G1095, """")), 1, 0))"),1.0)</f>
        <v>1</v>
      </c>
      <c r="R1095" s="6">
        <f t="shared" si="1"/>
        <v>1</v>
      </c>
    </row>
    <row r="1096">
      <c r="A1096" s="1" t="s">
        <v>137</v>
      </c>
      <c r="B1096" s="1" t="s">
        <v>2858</v>
      </c>
      <c r="C1096" s="1">
        <v>431.0</v>
      </c>
      <c r="D1096" s="1">
        <v>36.0</v>
      </c>
      <c r="E1096" s="1">
        <v>467.0</v>
      </c>
      <c r="F1096" s="1" t="s">
        <v>2859</v>
      </c>
      <c r="G1096" s="1" t="s">
        <v>2859</v>
      </c>
      <c r="H1096" s="1" t="s">
        <v>250</v>
      </c>
      <c r="I1096" s="1" t="s">
        <v>2275</v>
      </c>
      <c r="J1096" s="1" t="s">
        <v>1877</v>
      </c>
      <c r="K1096" s="1" t="s">
        <v>2277</v>
      </c>
      <c r="L1096" s="1"/>
      <c r="M1096" s="1" t="s">
        <v>250</v>
      </c>
      <c r="N1096" s="6">
        <f>IFERROR(__xludf.DUMMYFUNCTION("IF(REGEXMATCH(A1096, ""^00-""), 0, IF(AND(EQ(F1096, """"), EQ(G1096, """")), 1, 0))"),0.0)</f>
        <v>0</v>
      </c>
      <c r="O1096" s="6">
        <f>IFERROR(__xludf.DUMMYFUNCTION("IF(REGEXMATCH(A1096, ""^00-""), 0, IF(AND(NE(F1096, """"), EQ(G1096, """")), 1, 0))"),0.0)</f>
        <v>0</v>
      </c>
      <c r="P1096" s="6">
        <f>IFERROR(__xludf.DUMMYFUNCTION("IF(REGEXMATCH(A1096, ""^00-""), 0, IF(AND(EQ(F1096, """"), NE(G1096, """")), 1, 0))"),0.0)</f>
        <v>0</v>
      </c>
      <c r="Q1096" s="6">
        <f>IFERROR(__xludf.DUMMYFUNCTION("IF(REGEXMATCH(A1096, ""^00-""), 0, IF(AND(NE(F1096, """"), NE(G1096, """")), 1, 0))"),1.0)</f>
        <v>1</v>
      </c>
      <c r="R1096" s="6">
        <f t="shared" si="1"/>
        <v>1</v>
      </c>
    </row>
    <row r="1097">
      <c r="A1097" s="1" t="s">
        <v>137</v>
      </c>
      <c r="B1097" s="1" t="s">
        <v>2860</v>
      </c>
      <c r="C1097" s="1">
        <v>432.0</v>
      </c>
      <c r="D1097" s="1">
        <v>35.0</v>
      </c>
      <c r="E1097" s="1">
        <v>467.0</v>
      </c>
      <c r="F1097" s="1" t="s">
        <v>2861</v>
      </c>
      <c r="G1097" s="1" t="s">
        <v>2861</v>
      </c>
      <c r="H1097" s="1" t="s">
        <v>250</v>
      </c>
      <c r="I1097" s="1" t="s">
        <v>2275</v>
      </c>
      <c r="J1097" s="1" t="s">
        <v>1877</v>
      </c>
      <c r="K1097" s="1" t="s">
        <v>2277</v>
      </c>
      <c r="L1097" s="1"/>
      <c r="M1097" s="1" t="s">
        <v>250</v>
      </c>
      <c r="N1097" s="6">
        <f>IFERROR(__xludf.DUMMYFUNCTION("IF(REGEXMATCH(A1097, ""^00-""), 0, IF(AND(EQ(F1097, """"), EQ(G1097, """")), 1, 0))"),0.0)</f>
        <v>0</v>
      </c>
      <c r="O1097" s="6">
        <f>IFERROR(__xludf.DUMMYFUNCTION("IF(REGEXMATCH(A1097, ""^00-""), 0, IF(AND(NE(F1097, """"), EQ(G1097, """")), 1, 0))"),0.0)</f>
        <v>0</v>
      </c>
      <c r="P1097" s="6">
        <f>IFERROR(__xludf.DUMMYFUNCTION("IF(REGEXMATCH(A1097, ""^00-""), 0, IF(AND(EQ(F1097, """"), NE(G1097, """")), 1, 0))"),0.0)</f>
        <v>0</v>
      </c>
      <c r="Q1097" s="6">
        <f>IFERROR(__xludf.DUMMYFUNCTION("IF(REGEXMATCH(A1097, ""^00-""), 0, IF(AND(NE(F1097, """"), NE(G1097, """")), 1, 0))"),1.0)</f>
        <v>1</v>
      </c>
      <c r="R1097" s="6">
        <f t="shared" si="1"/>
        <v>1</v>
      </c>
    </row>
    <row r="1098">
      <c r="A1098" s="1" t="s">
        <v>139</v>
      </c>
      <c r="B1098" s="1" t="s">
        <v>2862</v>
      </c>
      <c r="C1098" s="1">
        <v>212.0</v>
      </c>
      <c r="D1098" s="1">
        <v>0.0</v>
      </c>
      <c r="E1098" s="1">
        <v>212.0</v>
      </c>
      <c r="F1098" s="1" t="s">
        <v>2863</v>
      </c>
      <c r="G1098" s="1" t="s">
        <v>2863</v>
      </c>
      <c r="H1098" s="1" t="s">
        <v>182</v>
      </c>
      <c r="I1098" s="1" t="s">
        <v>2275</v>
      </c>
      <c r="J1098" s="1" t="s">
        <v>2864</v>
      </c>
      <c r="K1098" s="1" t="s">
        <v>2277</v>
      </c>
      <c r="L1098" s="1"/>
      <c r="M1098" s="1" t="s">
        <v>185</v>
      </c>
      <c r="N1098" s="6">
        <f>IFERROR(__xludf.DUMMYFUNCTION("IF(REGEXMATCH(A1098, ""^00-""), 0, IF(AND(EQ(F1098, """"), EQ(G1098, """")), 1, 0))"),0.0)</f>
        <v>0</v>
      </c>
      <c r="O1098" s="6">
        <f>IFERROR(__xludf.DUMMYFUNCTION("IF(REGEXMATCH(A1098, ""^00-""), 0, IF(AND(NE(F1098, """"), EQ(G1098, """")), 1, 0))"),0.0)</f>
        <v>0</v>
      </c>
      <c r="P1098" s="6">
        <f>IFERROR(__xludf.DUMMYFUNCTION("IF(REGEXMATCH(A1098, ""^00-""), 0, IF(AND(EQ(F1098, """"), NE(G1098, """")), 1, 0))"),0.0)</f>
        <v>0</v>
      </c>
      <c r="Q1098" s="6">
        <f>IFERROR(__xludf.DUMMYFUNCTION("IF(REGEXMATCH(A1098, ""^00-""), 0, IF(AND(NE(F1098, """"), NE(G1098, """")), 1, 0))"),1.0)</f>
        <v>1</v>
      </c>
      <c r="R1098" s="6">
        <f t="shared" si="1"/>
        <v>1</v>
      </c>
    </row>
    <row r="1099">
      <c r="A1099" s="1" t="s">
        <v>139</v>
      </c>
      <c r="B1099" s="1" t="s">
        <v>2865</v>
      </c>
      <c r="C1099" s="1">
        <v>212.0</v>
      </c>
      <c r="D1099" s="1">
        <v>0.0</v>
      </c>
      <c r="E1099" s="1">
        <v>212.0</v>
      </c>
      <c r="F1099" s="1" t="s">
        <v>2866</v>
      </c>
      <c r="G1099" s="1" t="s">
        <v>2866</v>
      </c>
      <c r="H1099" s="1" t="s">
        <v>269</v>
      </c>
      <c r="I1099" s="1" t="s">
        <v>2275</v>
      </c>
      <c r="J1099" s="1" t="s">
        <v>2864</v>
      </c>
      <c r="K1099" s="1" t="s">
        <v>2277</v>
      </c>
      <c r="L1099" s="1"/>
      <c r="M1099" s="1" t="s">
        <v>2865</v>
      </c>
      <c r="N1099" s="6">
        <f>IFERROR(__xludf.DUMMYFUNCTION("IF(REGEXMATCH(A1099, ""^00-""), 0, IF(AND(EQ(F1099, """"), EQ(G1099, """")), 1, 0))"),0.0)</f>
        <v>0</v>
      </c>
      <c r="O1099" s="6">
        <f>IFERROR(__xludf.DUMMYFUNCTION("IF(REGEXMATCH(A1099, ""^00-""), 0, IF(AND(NE(F1099, """"), EQ(G1099, """")), 1, 0))"),0.0)</f>
        <v>0</v>
      </c>
      <c r="P1099" s="6">
        <f>IFERROR(__xludf.DUMMYFUNCTION("IF(REGEXMATCH(A1099, ""^00-""), 0, IF(AND(EQ(F1099, """"), NE(G1099, """")), 1, 0))"),0.0)</f>
        <v>0</v>
      </c>
      <c r="Q1099" s="6">
        <f>IFERROR(__xludf.DUMMYFUNCTION("IF(REGEXMATCH(A1099, ""^00-""), 0, IF(AND(NE(F1099, """"), NE(G1099, """")), 1, 0))"),1.0)</f>
        <v>1</v>
      </c>
      <c r="R1099" s="6">
        <f t="shared" si="1"/>
        <v>1</v>
      </c>
    </row>
    <row r="1100">
      <c r="A1100" s="1" t="s">
        <v>139</v>
      </c>
      <c r="B1100" s="1" t="s">
        <v>2867</v>
      </c>
      <c r="C1100" s="1">
        <v>212.0</v>
      </c>
      <c r="D1100" s="1">
        <v>0.0</v>
      </c>
      <c r="E1100" s="1">
        <v>212.0</v>
      </c>
      <c r="F1100" s="1" t="s">
        <v>2868</v>
      </c>
      <c r="G1100" s="1" t="s">
        <v>2868</v>
      </c>
      <c r="H1100" s="1" t="s">
        <v>235</v>
      </c>
      <c r="I1100" s="1" t="s">
        <v>2275</v>
      </c>
      <c r="J1100" s="1" t="s">
        <v>2864</v>
      </c>
      <c r="K1100" s="1" t="s">
        <v>2277</v>
      </c>
      <c r="L1100" s="1"/>
      <c r="M1100" s="1" t="s">
        <v>2867</v>
      </c>
      <c r="N1100" s="6">
        <f>IFERROR(__xludf.DUMMYFUNCTION("IF(REGEXMATCH(A1100, ""^00-""), 0, IF(AND(EQ(F1100, """"), EQ(G1100, """")), 1, 0))"),0.0)</f>
        <v>0</v>
      </c>
      <c r="O1100" s="6">
        <f>IFERROR(__xludf.DUMMYFUNCTION("IF(REGEXMATCH(A1100, ""^00-""), 0, IF(AND(NE(F1100, """"), EQ(G1100, """")), 1, 0))"),0.0)</f>
        <v>0</v>
      </c>
      <c r="P1100" s="6">
        <f>IFERROR(__xludf.DUMMYFUNCTION("IF(REGEXMATCH(A1100, ""^00-""), 0, IF(AND(EQ(F1100, """"), NE(G1100, """")), 1, 0))"),0.0)</f>
        <v>0</v>
      </c>
      <c r="Q1100" s="6">
        <f>IFERROR(__xludf.DUMMYFUNCTION("IF(REGEXMATCH(A1100, ""^00-""), 0, IF(AND(NE(F1100, """"), NE(G1100, """")), 1, 0))"),1.0)</f>
        <v>1</v>
      </c>
      <c r="R1100" s="6">
        <f t="shared" si="1"/>
        <v>1</v>
      </c>
    </row>
    <row r="1101">
      <c r="A1101" s="1" t="s">
        <v>139</v>
      </c>
      <c r="B1101" s="1" t="s">
        <v>2869</v>
      </c>
      <c r="C1101" s="1">
        <v>18.0</v>
      </c>
      <c r="D1101" s="1">
        <v>194.0</v>
      </c>
      <c r="E1101" s="1">
        <v>212.0</v>
      </c>
      <c r="F1101" s="1" t="s">
        <v>2870</v>
      </c>
      <c r="G1101" s="1" t="s">
        <v>2870</v>
      </c>
      <c r="H1101" s="1" t="s">
        <v>171</v>
      </c>
      <c r="I1101" s="1" t="s">
        <v>2275</v>
      </c>
      <c r="J1101" s="1" t="s">
        <v>2864</v>
      </c>
      <c r="K1101" s="1" t="s">
        <v>2277</v>
      </c>
      <c r="L1101" s="1"/>
      <c r="M1101" s="1" t="s">
        <v>171</v>
      </c>
      <c r="N1101" s="6">
        <f>IFERROR(__xludf.DUMMYFUNCTION("IF(REGEXMATCH(A1101, ""^00-""), 0, IF(AND(EQ(F1101, """"), EQ(G1101, """")), 1, 0))"),0.0)</f>
        <v>0</v>
      </c>
      <c r="O1101" s="6">
        <f>IFERROR(__xludf.DUMMYFUNCTION("IF(REGEXMATCH(A1101, ""^00-""), 0, IF(AND(NE(F1101, """"), EQ(G1101, """")), 1, 0))"),0.0)</f>
        <v>0</v>
      </c>
      <c r="P1101" s="6">
        <f>IFERROR(__xludf.DUMMYFUNCTION("IF(REGEXMATCH(A1101, ""^00-""), 0, IF(AND(EQ(F1101, """"), NE(G1101, """")), 1, 0))"),0.0)</f>
        <v>0</v>
      </c>
      <c r="Q1101" s="6">
        <f>IFERROR(__xludf.DUMMYFUNCTION("IF(REGEXMATCH(A1101, ""^00-""), 0, IF(AND(NE(F1101, """"), NE(G1101, """")), 1, 0))"),1.0)</f>
        <v>1</v>
      </c>
      <c r="R1101" s="6">
        <f t="shared" si="1"/>
        <v>1</v>
      </c>
    </row>
    <row r="1102">
      <c r="A1102" s="1" t="s">
        <v>139</v>
      </c>
      <c r="B1102" s="1" t="s">
        <v>2871</v>
      </c>
      <c r="C1102" s="1">
        <v>147.0</v>
      </c>
      <c r="D1102" s="1">
        <v>65.0</v>
      </c>
      <c r="E1102" s="1">
        <v>212.0</v>
      </c>
      <c r="F1102" s="1"/>
      <c r="G1102" s="1" t="s">
        <v>2872</v>
      </c>
      <c r="H1102" s="1" t="s">
        <v>269</v>
      </c>
      <c r="I1102" s="1" t="s">
        <v>2275</v>
      </c>
      <c r="J1102" s="1" t="s">
        <v>2864</v>
      </c>
      <c r="K1102" s="1" t="s">
        <v>2277</v>
      </c>
      <c r="L1102" s="1"/>
      <c r="M1102" s="1" t="s">
        <v>2871</v>
      </c>
      <c r="N1102" s="6">
        <f>IFERROR(__xludf.DUMMYFUNCTION("IF(REGEXMATCH(A1102, ""^00-""), 0, IF(AND(EQ(F1102, """"), EQ(G1102, """")), 1, 0))"),0.0)</f>
        <v>0</v>
      </c>
      <c r="O1102" s="6">
        <f>IFERROR(__xludf.DUMMYFUNCTION("IF(REGEXMATCH(A1102, ""^00-""), 0, IF(AND(NE(F1102, """"), EQ(G1102, """")), 1, 0))"),0.0)</f>
        <v>0</v>
      </c>
      <c r="P1102" s="6">
        <f>IFERROR(__xludf.DUMMYFUNCTION("IF(REGEXMATCH(A1102, ""^00-""), 0, IF(AND(EQ(F1102, """"), NE(G1102, """")), 1, 0))"),1.0)</f>
        <v>1</v>
      </c>
      <c r="Q1102" s="6">
        <f>IFERROR(__xludf.DUMMYFUNCTION("IF(REGEXMATCH(A1102, ""^00-""), 0, IF(AND(NE(F1102, """"), NE(G1102, """")), 1, 0))"),0.0)</f>
        <v>0</v>
      </c>
      <c r="R1102" s="6">
        <f t="shared" si="1"/>
        <v>1</v>
      </c>
    </row>
    <row r="1103">
      <c r="A1103" s="1" t="s">
        <v>139</v>
      </c>
      <c r="B1103" s="1" t="s">
        <v>2873</v>
      </c>
      <c r="C1103" s="1">
        <v>147.0</v>
      </c>
      <c r="D1103" s="1">
        <v>65.0</v>
      </c>
      <c r="E1103" s="1">
        <v>212.0</v>
      </c>
      <c r="F1103" s="1"/>
      <c r="G1103" s="1" t="s">
        <v>2874</v>
      </c>
      <c r="H1103" s="1" t="s">
        <v>190</v>
      </c>
      <c r="I1103" s="1" t="s">
        <v>2275</v>
      </c>
      <c r="J1103" s="1" t="s">
        <v>2864</v>
      </c>
      <c r="K1103" s="1" t="s">
        <v>2277</v>
      </c>
      <c r="L1103" s="1"/>
      <c r="M1103" s="1" t="s">
        <v>191</v>
      </c>
      <c r="N1103" s="6">
        <f>IFERROR(__xludf.DUMMYFUNCTION("IF(REGEXMATCH(A1103, ""^00-""), 0, IF(AND(EQ(F1103, """"), EQ(G1103, """")), 1, 0))"),0.0)</f>
        <v>0</v>
      </c>
      <c r="O1103" s="6">
        <f>IFERROR(__xludf.DUMMYFUNCTION("IF(REGEXMATCH(A1103, ""^00-""), 0, IF(AND(NE(F1103, """"), EQ(G1103, """")), 1, 0))"),0.0)</f>
        <v>0</v>
      </c>
      <c r="P1103" s="6">
        <f>IFERROR(__xludf.DUMMYFUNCTION("IF(REGEXMATCH(A1103, ""^00-""), 0, IF(AND(EQ(F1103, """"), NE(G1103, """")), 1, 0))"),1.0)</f>
        <v>1</v>
      </c>
      <c r="Q1103" s="6">
        <f>IFERROR(__xludf.DUMMYFUNCTION("IF(REGEXMATCH(A1103, ""^00-""), 0, IF(AND(NE(F1103, """"), NE(G1103, """")), 1, 0))"),0.0)</f>
        <v>0</v>
      </c>
      <c r="R1103" s="6">
        <f t="shared" si="1"/>
        <v>1</v>
      </c>
    </row>
    <row r="1104">
      <c r="A1104" s="1" t="s">
        <v>141</v>
      </c>
      <c r="B1104" s="1" t="s">
        <v>2875</v>
      </c>
      <c r="C1104" s="1">
        <v>34.0</v>
      </c>
      <c r="D1104" s="1">
        <v>433.0</v>
      </c>
      <c r="E1104" s="1">
        <v>467.0</v>
      </c>
      <c r="F1104" s="1" t="s">
        <v>2876</v>
      </c>
      <c r="G1104" s="1" t="s">
        <v>2876</v>
      </c>
      <c r="H1104" s="1" t="s">
        <v>190</v>
      </c>
      <c r="I1104" s="1" t="s">
        <v>2275</v>
      </c>
      <c r="J1104" s="1" t="s">
        <v>2877</v>
      </c>
      <c r="K1104" s="1" t="s">
        <v>2277</v>
      </c>
      <c r="L1104" s="1"/>
      <c r="M1104" s="1" t="s">
        <v>191</v>
      </c>
      <c r="N1104" s="6">
        <f>IFERROR(__xludf.DUMMYFUNCTION("IF(REGEXMATCH(A1104, ""^00-""), 0, IF(AND(EQ(F1104, """"), EQ(G1104, """")), 1, 0))"),0.0)</f>
        <v>0</v>
      </c>
      <c r="O1104" s="6">
        <f>IFERROR(__xludf.DUMMYFUNCTION("IF(REGEXMATCH(A1104, ""^00-""), 0, IF(AND(NE(F1104, """"), EQ(G1104, """")), 1, 0))"),0.0)</f>
        <v>0</v>
      </c>
      <c r="P1104" s="6">
        <f>IFERROR(__xludf.DUMMYFUNCTION("IF(REGEXMATCH(A1104, ""^00-""), 0, IF(AND(EQ(F1104, """"), NE(G1104, """")), 1, 0))"),0.0)</f>
        <v>0</v>
      </c>
      <c r="Q1104" s="6">
        <f>IFERROR(__xludf.DUMMYFUNCTION("IF(REGEXMATCH(A1104, ""^00-""), 0, IF(AND(NE(F1104, """"), NE(G1104, """")), 1, 0))"),1.0)</f>
        <v>1</v>
      </c>
      <c r="R1104" s="6">
        <f t="shared" si="1"/>
        <v>1</v>
      </c>
    </row>
    <row r="1105">
      <c r="A1105" s="1" t="s">
        <v>141</v>
      </c>
      <c r="B1105" s="1" t="s">
        <v>2878</v>
      </c>
      <c r="C1105" s="1">
        <v>12.0</v>
      </c>
      <c r="D1105" s="1">
        <v>455.0</v>
      </c>
      <c r="E1105" s="1">
        <v>467.0</v>
      </c>
      <c r="F1105" s="1" t="s">
        <v>2879</v>
      </c>
      <c r="G1105" s="1" t="s">
        <v>2879</v>
      </c>
      <c r="H1105" s="1" t="s">
        <v>250</v>
      </c>
      <c r="I1105" s="1" t="s">
        <v>2275</v>
      </c>
      <c r="J1105" s="1" t="s">
        <v>2877</v>
      </c>
      <c r="K1105" s="1" t="s">
        <v>2277</v>
      </c>
      <c r="L1105" s="1"/>
      <c r="M1105" s="1" t="s">
        <v>250</v>
      </c>
      <c r="N1105" s="6">
        <f>IFERROR(__xludf.DUMMYFUNCTION("IF(REGEXMATCH(A1105, ""^00-""), 0, IF(AND(EQ(F1105, """"), EQ(G1105, """")), 1, 0))"),0.0)</f>
        <v>0</v>
      </c>
      <c r="O1105" s="6">
        <f>IFERROR(__xludf.DUMMYFUNCTION("IF(REGEXMATCH(A1105, ""^00-""), 0, IF(AND(NE(F1105, """"), EQ(G1105, """")), 1, 0))"),0.0)</f>
        <v>0</v>
      </c>
      <c r="P1105" s="6">
        <f>IFERROR(__xludf.DUMMYFUNCTION("IF(REGEXMATCH(A1105, ""^00-""), 0, IF(AND(EQ(F1105, """"), NE(G1105, """")), 1, 0))"),0.0)</f>
        <v>0</v>
      </c>
      <c r="Q1105" s="6">
        <f>IFERROR(__xludf.DUMMYFUNCTION("IF(REGEXMATCH(A1105, ""^00-""), 0, IF(AND(NE(F1105, """"), NE(G1105, """")), 1, 0))"),1.0)</f>
        <v>1</v>
      </c>
      <c r="R1105" s="6">
        <f t="shared" si="1"/>
        <v>1</v>
      </c>
    </row>
    <row r="1106">
      <c r="A1106" s="1" t="s">
        <v>141</v>
      </c>
      <c r="B1106" s="1" t="s">
        <v>2880</v>
      </c>
      <c r="C1106" s="1">
        <v>13.0</v>
      </c>
      <c r="D1106" s="1">
        <v>454.0</v>
      </c>
      <c r="E1106" s="1">
        <v>467.0</v>
      </c>
      <c r="F1106" s="1" t="s">
        <v>2881</v>
      </c>
      <c r="G1106" s="1" t="s">
        <v>2881</v>
      </c>
      <c r="H1106" s="1" t="s">
        <v>250</v>
      </c>
      <c r="I1106" s="1" t="s">
        <v>2275</v>
      </c>
      <c r="J1106" s="1" t="s">
        <v>2877</v>
      </c>
      <c r="K1106" s="1" t="s">
        <v>2277</v>
      </c>
      <c r="L1106" s="1"/>
      <c r="M1106" s="1" t="s">
        <v>250</v>
      </c>
      <c r="N1106" s="6">
        <f>IFERROR(__xludf.DUMMYFUNCTION("IF(REGEXMATCH(A1106, ""^00-""), 0, IF(AND(EQ(F1106, """"), EQ(G1106, """")), 1, 0))"),0.0)</f>
        <v>0</v>
      </c>
      <c r="O1106" s="6">
        <f>IFERROR(__xludf.DUMMYFUNCTION("IF(REGEXMATCH(A1106, ""^00-""), 0, IF(AND(NE(F1106, """"), EQ(G1106, """")), 1, 0))"),0.0)</f>
        <v>0</v>
      </c>
      <c r="P1106" s="6">
        <f>IFERROR(__xludf.DUMMYFUNCTION("IF(REGEXMATCH(A1106, ""^00-""), 0, IF(AND(EQ(F1106, """"), NE(G1106, """")), 1, 0))"),0.0)</f>
        <v>0</v>
      </c>
      <c r="Q1106" s="6">
        <f>IFERROR(__xludf.DUMMYFUNCTION("IF(REGEXMATCH(A1106, ""^00-""), 0, IF(AND(NE(F1106, """"), NE(G1106, """")), 1, 0))"),1.0)</f>
        <v>1</v>
      </c>
      <c r="R1106" s="6">
        <f t="shared" si="1"/>
        <v>1</v>
      </c>
    </row>
    <row r="1107">
      <c r="A1107" s="1" t="s">
        <v>141</v>
      </c>
      <c r="B1107" s="1" t="s">
        <v>2882</v>
      </c>
      <c r="C1107" s="1">
        <v>21.0</v>
      </c>
      <c r="D1107" s="1">
        <v>446.0</v>
      </c>
      <c r="E1107" s="1">
        <v>467.0</v>
      </c>
      <c r="F1107" s="1" t="s">
        <v>2883</v>
      </c>
      <c r="G1107" s="1" t="s">
        <v>2883</v>
      </c>
      <c r="H1107" s="1" t="s">
        <v>190</v>
      </c>
      <c r="I1107" s="1" t="s">
        <v>2275</v>
      </c>
      <c r="J1107" s="1" t="s">
        <v>2877</v>
      </c>
      <c r="K1107" s="1" t="s">
        <v>2277</v>
      </c>
      <c r="L1107" s="1"/>
      <c r="M1107" s="1" t="s">
        <v>191</v>
      </c>
      <c r="N1107" s="6">
        <f>IFERROR(__xludf.DUMMYFUNCTION("IF(REGEXMATCH(A1107, ""^00-""), 0, IF(AND(EQ(F1107, """"), EQ(G1107, """")), 1, 0))"),0.0)</f>
        <v>0</v>
      </c>
      <c r="O1107" s="6">
        <f>IFERROR(__xludf.DUMMYFUNCTION("IF(REGEXMATCH(A1107, ""^00-""), 0, IF(AND(NE(F1107, """"), EQ(G1107, """")), 1, 0))"),0.0)</f>
        <v>0</v>
      </c>
      <c r="P1107" s="6">
        <f>IFERROR(__xludf.DUMMYFUNCTION("IF(REGEXMATCH(A1107, ""^00-""), 0, IF(AND(EQ(F1107, """"), NE(G1107, """")), 1, 0))"),0.0)</f>
        <v>0</v>
      </c>
      <c r="Q1107" s="6">
        <f>IFERROR(__xludf.DUMMYFUNCTION("IF(REGEXMATCH(A1107, ""^00-""), 0, IF(AND(NE(F1107, """"), NE(G1107, """")), 1, 0))"),1.0)</f>
        <v>1</v>
      </c>
      <c r="R1107" s="6">
        <f t="shared" si="1"/>
        <v>1</v>
      </c>
    </row>
    <row r="1108">
      <c r="A1108" s="1" t="s">
        <v>141</v>
      </c>
      <c r="B1108" s="1" t="s">
        <v>2884</v>
      </c>
      <c r="C1108" s="1">
        <v>19.0</v>
      </c>
      <c r="D1108" s="1">
        <v>448.0</v>
      </c>
      <c r="E1108" s="1">
        <v>467.0</v>
      </c>
      <c r="F1108" s="1" t="s">
        <v>2885</v>
      </c>
      <c r="G1108" s="1" t="s">
        <v>2885</v>
      </c>
      <c r="H1108" s="1" t="s">
        <v>182</v>
      </c>
      <c r="I1108" s="1" t="s">
        <v>2275</v>
      </c>
      <c r="J1108" s="1" t="s">
        <v>2877</v>
      </c>
      <c r="K1108" s="1" t="s">
        <v>2277</v>
      </c>
      <c r="L1108" s="1"/>
      <c r="M1108" s="1" t="s">
        <v>185</v>
      </c>
      <c r="N1108" s="6">
        <f>IFERROR(__xludf.DUMMYFUNCTION("IF(REGEXMATCH(A1108, ""^00-""), 0, IF(AND(EQ(F1108, """"), EQ(G1108, """")), 1, 0))"),0.0)</f>
        <v>0</v>
      </c>
      <c r="O1108" s="6">
        <f>IFERROR(__xludf.DUMMYFUNCTION("IF(REGEXMATCH(A1108, ""^00-""), 0, IF(AND(NE(F1108, """"), EQ(G1108, """")), 1, 0))"),0.0)</f>
        <v>0</v>
      </c>
      <c r="P1108" s="6">
        <f>IFERROR(__xludf.DUMMYFUNCTION("IF(REGEXMATCH(A1108, ""^00-""), 0, IF(AND(EQ(F1108, """"), NE(G1108, """")), 1, 0))"),0.0)</f>
        <v>0</v>
      </c>
      <c r="Q1108" s="6">
        <f>IFERROR(__xludf.DUMMYFUNCTION("IF(REGEXMATCH(A1108, ""^00-""), 0, IF(AND(NE(F1108, """"), NE(G1108, """")), 1, 0))"),1.0)</f>
        <v>1</v>
      </c>
      <c r="R1108" s="6">
        <f t="shared" si="1"/>
        <v>1</v>
      </c>
    </row>
    <row r="1109">
      <c r="A1109" s="1" t="s">
        <v>141</v>
      </c>
      <c r="B1109" s="1" t="s">
        <v>2886</v>
      </c>
      <c r="C1109" s="1">
        <v>2.0</v>
      </c>
      <c r="D1109" s="1">
        <v>465.0</v>
      </c>
      <c r="E1109" s="1">
        <v>467.0</v>
      </c>
      <c r="F1109" s="1" t="s">
        <v>2887</v>
      </c>
      <c r="G1109" s="1" t="s">
        <v>2887</v>
      </c>
      <c r="H1109" s="1" t="s">
        <v>250</v>
      </c>
      <c r="I1109" s="1" t="s">
        <v>2275</v>
      </c>
      <c r="J1109" s="1" t="s">
        <v>2877</v>
      </c>
      <c r="K1109" s="1" t="s">
        <v>2277</v>
      </c>
      <c r="L1109" s="1"/>
      <c r="M1109" s="1" t="s">
        <v>250</v>
      </c>
      <c r="N1109" s="6">
        <f>IFERROR(__xludf.DUMMYFUNCTION("IF(REGEXMATCH(A1109, ""^00-""), 0, IF(AND(EQ(F1109, """"), EQ(G1109, """")), 1, 0))"),0.0)</f>
        <v>0</v>
      </c>
      <c r="O1109" s="6">
        <f>IFERROR(__xludf.DUMMYFUNCTION("IF(REGEXMATCH(A1109, ""^00-""), 0, IF(AND(NE(F1109, """"), EQ(G1109, """")), 1, 0))"),0.0)</f>
        <v>0</v>
      </c>
      <c r="P1109" s="6">
        <f>IFERROR(__xludf.DUMMYFUNCTION("IF(REGEXMATCH(A1109, ""^00-""), 0, IF(AND(EQ(F1109, """"), NE(G1109, """")), 1, 0))"),0.0)</f>
        <v>0</v>
      </c>
      <c r="Q1109" s="6">
        <f>IFERROR(__xludf.DUMMYFUNCTION("IF(REGEXMATCH(A1109, ""^00-""), 0, IF(AND(NE(F1109, """"), NE(G1109, """")), 1, 0))"),1.0)</f>
        <v>1</v>
      </c>
      <c r="R1109" s="6">
        <f t="shared" si="1"/>
        <v>1</v>
      </c>
    </row>
    <row r="1110">
      <c r="A1110" s="1" t="s">
        <v>141</v>
      </c>
      <c r="B1110" s="1" t="s">
        <v>2888</v>
      </c>
      <c r="C1110" s="1">
        <v>19.0</v>
      </c>
      <c r="D1110" s="1">
        <v>448.0</v>
      </c>
      <c r="E1110" s="1">
        <v>467.0</v>
      </c>
      <c r="F1110" s="1" t="s">
        <v>2889</v>
      </c>
      <c r="G1110" s="1" t="s">
        <v>2889</v>
      </c>
      <c r="H1110" s="1" t="s">
        <v>190</v>
      </c>
      <c r="I1110" s="1" t="s">
        <v>2275</v>
      </c>
      <c r="J1110" s="1" t="s">
        <v>2877</v>
      </c>
      <c r="K1110" s="1" t="s">
        <v>2277</v>
      </c>
      <c r="L1110" s="1"/>
      <c r="M1110" s="1" t="s">
        <v>191</v>
      </c>
      <c r="N1110" s="6">
        <f>IFERROR(__xludf.DUMMYFUNCTION("IF(REGEXMATCH(A1110, ""^00-""), 0, IF(AND(EQ(F1110, """"), EQ(G1110, """")), 1, 0))"),0.0)</f>
        <v>0</v>
      </c>
      <c r="O1110" s="6">
        <f>IFERROR(__xludf.DUMMYFUNCTION("IF(REGEXMATCH(A1110, ""^00-""), 0, IF(AND(NE(F1110, """"), EQ(G1110, """")), 1, 0))"),0.0)</f>
        <v>0</v>
      </c>
      <c r="P1110" s="6">
        <f>IFERROR(__xludf.DUMMYFUNCTION("IF(REGEXMATCH(A1110, ""^00-""), 0, IF(AND(EQ(F1110, """"), NE(G1110, """")), 1, 0))"),0.0)</f>
        <v>0</v>
      </c>
      <c r="Q1110" s="6">
        <f>IFERROR(__xludf.DUMMYFUNCTION("IF(REGEXMATCH(A1110, ""^00-""), 0, IF(AND(NE(F1110, """"), NE(G1110, """")), 1, 0))"),1.0)</f>
        <v>1</v>
      </c>
      <c r="R1110" s="6">
        <f t="shared" si="1"/>
        <v>1</v>
      </c>
    </row>
    <row r="1111">
      <c r="A1111" s="1" t="s">
        <v>141</v>
      </c>
      <c r="B1111" s="1" t="s">
        <v>2890</v>
      </c>
      <c r="C1111" s="1">
        <v>7.0</v>
      </c>
      <c r="D1111" s="1">
        <v>460.0</v>
      </c>
      <c r="E1111" s="1">
        <v>467.0</v>
      </c>
      <c r="F1111" s="1" t="s">
        <v>2891</v>
      </c>
      <c r="G1111" s="1" t="s">
        <v>2891</v>
      </c>
      <c r="H1111" s="1" t="s">
        <v>250</v>
      </c>
      <c r="I1111" s="1" t="s">
        <v>2275</v>
      </c>
      <c r="J1111" s="1" t="s">
        <v>2877</v>
      </c>
      <c r="K1111" s="1" t="s">
        <v>2277</v>
      </c>
      <c r="L1111" s="1"/>
      <c r="M1111" s="1" t="s">
        <v>250</v>
      </c>
      <c r="N1111" s="6">
        <f>IFERROR(__xludf.DUMMYFUNCTION("IF(REGEXMATCH(A1111, ""^00-""), 0, IF(AND(EQ(F1111, """"), EQ(G1111, """")), 1, 0))"),0.0)</f>
        <v>0</v>
      </c>
      <c r="O1111" s="6">
        <f>IFERROR(__xludf.DUMMYFUNCTION("IF(REGEXMATCH(A1111, ""^00-""), 0, IF(AND(NE(F1111, """"), EQ(G1111, """")), 1, 0))"),0.0)</f>
        <v>0</v>
      </c>
      <c r="P1111" s="6">
        <f>IFERROR(__xludf.DUMMYFUNCTION("IF(REGEXMATCH(A1111, ""^00-""), 0, IF(AND(EQ(F1111, """"), NE(G1111, """")), 1, 0))"),0.0)</f>
        <v>0</v>
      </c>
      <c r="Q1111" s="6">
        <f>IFERROR(__xludf.DUMMYFUNCTION("IF(REGEXMATCH(A1111, ""^00-""), 0, IF(AND(NE(F1111, """"), NE(G1111, """")), 1, 0))"),1.0)</f>
        <v>1</v>
      </c>
      <c r="R1111" s="6">
        <f t="shared" si="1"/>
        <v>1</v>
      </c>
    </row>
    <row r="1112">
      <c r="A1112" s="1" t="s">
        <v>141</v>
      </c>
      <c r="B1112" s="1" t="s">
        <v>2892</v>
      </c>
      <c r="C1112" s="1">
        <v>7.0</v>
      </c>
      <c r="D1112" s="1">
        <v>460.0</v>
      </c>
      <c r="E1112" s="1">
        <v>467.0</v>
      </c>
      <c r="F1112" s="1" t="s">
        <v>2893</v>
      </c>
      <c r="G1112" s="1" t="s">
        <v>2893</v>
      </c>
      <c r="H1112" s="1" t="s">
        <v>182</v>
      </c>
      <c r="I1112" s="1" t="s">
        <v>2275</v>
      </c>
      <c r="J1112" s="1" t="s">
        <v>2877</v>
      </c>
      <c r="K1112" s="1" t="s">
        <v>2277</v>
      </c>
      <c r="L1112" s="1"/>
      <c r="M1112" s="1" t="s">
        <v>185</v>
      </c>
      <c r="N1112" s="6">
        <f>IFERROR(__xludf.DUMMYFUNCTION("IF(REGEXMATCH(A1112, ""^00-""), 0, IF(AND(EQ(F1112, """"), EQ(G1112, """")), 1, 0))"),0.0)</f>
        <v>0</v>
      </c>
      <c r="O1112" s="6">
        <f>IFERROR(__xludf.DUMMYFUNCTION("IF(REGEXMATCH(A1112, ""^00-""), 0, IF(AND(NE(F1112, """"), EQ(G1112, """")), 1, 0))"),0.0)</f>
        <v>0</v>
      </c>
      <c r="P1112" s="6">
        <f>IFERROR(__xludf.DUMMYFUNCTION("IF(REGEXMATCH(A1112, ""^00-""), 0, IF(AND(EQ(F1112, """"), NE(G1112, """")), 1, 0))"),0.0)</f>
        <v>0</v>
      </c>
      <c r="Q1112" s="6">
        <f>IFERROR(__xludf.DUMMYFUNCTION("IF(REGEXMATCH(A1112, ""^00-""), 0, IF(AND(NE(F1112, """"), NE(G1112, """")), 1, 0))"),1.0)</f>
        <v>1</v>
      </c>
      <c r="R1112" s="6">
        <f t="shared" si="1"/>
        <v>1</v>
      </c>
    </row>
    <row r="1113">
      <c r="A1113" s="1" t="s">
        <v>141</v>
      </c>
      <c r="B1113" s="1" t="s">
        <v>2894</v>
      </c>
      <c r="C1113" s="1">
        <v>19.0</v>
      </c>
      <c r="D1113" s="1">
        <v>448.0</v>
      </c>
      <c r="E1113" s="1">
        <v>467.0</v>
      </c>
      <c r="F1113" s="1" t="s">
        <v>2895</v>
      </c>
      <c r="G1113" s="1" t="s">
        <v>2895</v>
      </c>
      <c r="H1113" s="1" t="s">
        <v>190</v>
      </c>
      <c r="I1113" s="1" t="s">
        <v>2275</v>
      </c>
      <c r="J1113" s="1" t="s">
        <v>2877</v>
      </c>
      <c r="K1113" s="1" t="s">
        <v>2277</v>
      </c>
      <c r="L1113" s="1"/>
      <c r="M1113" s="1" t="s">
        <v>191</v>
      </c>
      <c r="N1113" s="6">
        <f>IFERROR(__xludf.DUMMYFUNCTION("IF(REGEXMATCH(A1113, ""^00-""), 0, IF(AND(EQ(F1113, """"), EQ(G1113, """")), 1, 0))"),0.0)</f>
        <v>0</v>
      </c>
      <c r="O1113" s="6">
        <f>IFERROR(__xludf.DUMMYFUNCTION("IF(REGEXMATCH(A1113, ""^00-""), 0, IF(AND(NE(F1113, """"), EQ(G1113, """")), 1, 0))"),0.0)</f>
        <v>0</v>
      </c>
      <c r="P1113" s="6">
        <f>IFERROR(__xludf.DUMMYFUNCTION("IF(REGEXMATCH(A1113, ""^00-""), 0, IF(AND(EQ(F1113, """"), NE(G1113, """")), 1, 0))"),0.0)</f>
        <v>0</v>
      </c>
      <c r="Q1113" s="6">
        <f>IFERROR(__xludf.DUMMYFUNCTION("IF(REGEXMATCH(A1113, ""^00-""), 0, IF(AND(NE(F1113, """"), NE(G1113, """")), 1, 0))"),1.0)</f>
        <v>1</v>
      </c>
      <c r="R1113" s="6">
        <f t="shared" si="1"/>
        <v>1</v>
      </c>
    </row>
    <row r="1114">
      <c r="A1114" s="1" t="s">
        <v>141</v>
      </c>
      <c r="B1114" s="1" t="s">
        <v>2896</v>
      </c>
      <c r="C1114" s="1">
        <v>15.0</v>
      </c>
      <c r="D1114" s="1">
        <v>452.0</v>
      </c>
      <c r="E1114" s="1">
        <v>467.0</v>
      </c>
      <c r="F1114" s="1" t="s">
        <v>2897</v>
      </c>
      <c r="G1114" s="1" t="s">
        <v>2897</v>
      </c>
      <c r="H1114" s="1" t="s">
        <v>250</v>
      </c>
      <c r="I1114" s="1" t="s">
        <v>2275</v>
      </c>
      <c r="J1114" s="1" t="s">
        <v>2877</v>
      </c>
      <c r="K1114" s="1" t="s">
        <v>2277</v>
      </c>
      <c r="L1114" s="1"/>
      <c r="M1114" s="1" t="s">
        <v>250</v>
      </c>
      <c r="N1114" s="6">
        <f>IFERROR(__xludf.DUMMYFUNCTION("IF(REGEXMATCH(A1114, ""^00-""), 0, IF(AND(EQ(F1114, """"), EQ(G1114, """")), 1, 0))"),0.0)</f>
        <v>0</v>
      </c>
      <c r="O1114" s="6">
        <f>IFERROR(__xludf.DUMMYFUNCTION("IF(REGEXMATCH(A1114, ""^00-""), 0, IF(AND(NE(F1114, """"), EQ(G1114, """")), 1, 0))"),0.0)</f>
        <v>0</v>
      </c>
      <c r="P1114" s="6">
        <f>IFERROR(__xludf.DUMMYFUNCTION("IF(REGEXMATCH(A1114, ""^00-""), 0, IF(AND(EQ(F1114, """"), NE(G1114, """")), 1, 0))"),0.0)</f>
        <v>0</v>
      </c>
      <c r="Q1114" s="6">
        <f>IFERROR(__xludf.DUMMYFUNCTION("IF(REGEXMATCH(A1114, ""^00-""), 0, IF(AND(NE(F1114, """"), NE(G1114, """")), 1, 0))"),1.0)</f>
        <v>1</v>
      </c>
      <c r="R1114" s="6">
        <f t="shared" si="1"/>
        <v>1</v>
      </c>
    </row>
    <row r="1115">
      <c r="A1115" s="1" t="s">
        <v>141</v>
      </c>
      <c r="B1115" s="1" t="s">
        <v>2898</v>
      </c>
      <c r="C1115" s="1">
        <v>15.0</v>
      </c>
      <c r="D1115" s="1">
        <v>452.0</v>
      </c>
      <c r="E1115" s="1">
        <v>467.0</v>
      </c>
      <c r="F1115" s="1" t="s">
        <v>2899</v>
      </c>
      <c r="G1115" s="1" t="s">
        <v>2899</v>
      </c>
      <c r="H1115" s="1" t="s">
        <v>182</v>
      </c>
      <c r="I1115" s="1" t="s">
        <v>2275</v>
      </c>
      <c r="J1115" s="1" t="s">
        <v>2877</v>
      </c>
      <c r="K1115" s="1" t="s">
        <v>2277</v>
      </c>
      <c r="L1115" s="1"/>
      <c r="M1115" s="1" t="s">
        <v>185</v>
      </c>
      <c r="N1115" s="6">
        <f>IFERROR(__xludf.DUMMYFUNCTION("IF(REGEXMATCH(A1115, ""^00-""), 0, IF(AND(EQ(F1115, """"), EQ(G1115, """")), 1, 0))"),0.0)</f>
        <v>0</v>
      </c>
      <c r="O1115" s="6">
        <f>IFERROR(__xludf.DUMMYFUNCTION("IF(REGEXMATCH(A1115, ""^00-""), 0, IF(AND(NE(F1115, """"), EQ(G1115, """")), 1, 0))"),0.0)</f>
        <v>0</v>
      </c>
      <c r="P1115" s="6">
        <f>IFERROR(__xludf.DUMMYFUNCTION("IF(REGEXMATCH(A1115, ""^00-""), 0, IF(AND(EQ(F1115, """"), NE(G1115, """")), 1, 0))"),0.0)</f>
        <v>0</v>
      </c>
      <c r="Q1115" s="6">
        <f>IFERROR(__xludf.DUMMYFUNCTION("IF(REGEXMATCH(A1115, ""^00-""), 0, IF(AND(NE(F1115, """"), NE(G1115, """")), 1, 0))"),1.0)</f>
        <v>1</v>
      </c>
      <c r="R1115" s="6">
        <f t="shared" si="1"/>
        <v>1</v>
      </c>
    </row>
    <row r="1116">
      <c r="A1116" s="1" t="s">
        <v>141</v>
      </c>
      <c r="B1116" s="1" t="s">
        <v>2900</v>
      </c>
      <c r="C1116" s="1">
        <v>7.0</v>
      </c>
      <c r="D1116" s="1">
        <v>460.0</v>
      </c>
      <c r="E1116" s="1">
        <v>467.0</v>
      </c>
      <c r="F1116" s="1" t="s">
        <v>2901</v>
      </c>
      <c r="G1116" s="1" t="s">
        <v>2901</v>
      </c>
      <c r="H1116" s="1" t="s">
        <v>269</v>
      </c>
      <c r="I1116" s="1" t="s">
        <v>2275</v>
      </c>
      <c r="J1116" s="1" t="s">
        <v>2877</v>
      </c>
      <c r="K1116" s="1" t="s">
        <v>2277</v>
      </c>
      <c r="L1116" s="1"/>
      <c r="M1116" s="1" t="s">
        <v>2902</v>
      </c>
      <c r="N1116" s="6">
        <f>IFERROR(__xludf.DUMMYFUNCTION("IF(REGEXMATCH(A1116, ""^00-""), 0, IF(AND(EQ(F1116, """"), EQ(G1116, """")), 1, 0))"),0.0)</f>
        <v>0</v>
      </c>
      <c r="O1116" s="6">
        <f>IFERROR(__xludf.DUMMYFUNCTION("IF(REGEXMATCH(A1116, ""^00-""), 0, IF(AND(NE(F1116, """"), EQ(G1116, """")), 1, 0))"),0.0)</f>
        <v>0</v>
      </c>
      <c r="P1116" s="6">
        <f>IFERROR(__xludf.DUMMYFUNCTION("IF(REGEXMATCH(A1116, ""^00-""), 0, IF(AND(EQ(F1116, """"), NE(G1116, """")), 1, 0))"),0.0)</f>
        <v>0</v>
      </c>
      <c r="Q1116" s="6">
        <f>IFERROR(__xludf.DUMMYFUNCTION("IF(REGEXMATCH(A1116, ""^00-""), 0, IF(AND(NE(F1116, """"), NE(G1116, """")), 1, 0))"),1.0)</f>
        <v>1</v>
      </c>
      <c r="R1116" s="6">
        <f t="shared" si="1"/>
        <v>1</v>
      </c>
    </row>
    <row r="1117">
      <c r="A1117" s="1" t="s">
        <v>141</v>
      </c>
      <c r="B1117" s="1" t="s">
        <v>2903</v>
      </c>
      <c r="C1117" s="1">
        <v>5.0</v>
      </c>
      <c r="D1117" s="1">
        <v>462.0</v>
      </c>
      <c r="E1117" s="1">
        <v>467.0</v>
      </c>
      <c r="F1117" s="1" t="s">
        <v>2904</v>
      </c>
      <c r="G1117" s="1" t="s">
        <v>2904</v>
      </c>
      <c r="H1117" s="1" t="s">
        <v>190</v>
      </c>
      <c r="I1117" s="1" t="s">
        <v>2275</v>
      </c>
      <c r="J1117" s="1" t="s">
        <v>2877</v>
      </c>
      <c r="K1117" s="1" t="s">
        <v>2277</v>
      </c>
      <c r="L1117" s="1"/>
      <c r="M1117" s="1" t="s">
        <v>191</v>
      </c>
      <c r="N1117" s="6">
        <f>IFERROR(__xludf.DUMMYFUNCTION("IF(REGEXMATCH(A1117, ""^00-""), 0, IF(AND(EQ(F1117, """"), EQ(G1117, """")), 1, 0))"),0.0)</f>
        <v>0</v>
      </c>
      <c r="O1117" s="6">
        <f>IFERROR(__xludf.DUMMYFUNCTION("IF(REGEXMATCH(A1117, ""^00-""), 0, IF(AND(NE(F1117, """"), EQ(G1117, """")), 1, 0))"),0.0)</f>
        <v>0</v>
      </c>
      <c r="P1117" s="6">
        <f>IFERROR(__xludf.DUMMYFUNCTION("IF(REGEXMATCH(A1117, ""^00-""), 0, IF(AND(EQ(F1117, """"), NE(G1117, """")), 1, 0))"),0.0)</f>
        <v>0</v>
      </c>
      <c r="Q1117" s="6">
        <f>IFERROR(__xludf.DUMMYFUNCTION("IF(REGEXMATCH(A1117, ""^00-""), 0, IF(AND(NE(F1117, """"), NE(G1117, """")), 1, 0))"),1.0)</f>
        <v>1</v>
      </c>
      <c r="R1117" s="6">
        <f t="shared" si="1"/>
        <v>1</v>
      </c>
    </row>
    <row r="1118">
      <c r="A1118" s="1" t="s">
        <v>141</v>
      </c>
      <c r="B1118" s="1" t="s">
        <v>2905</v>
      </c>
      <c r="C1118" s="1">
        <v>2.0</v>
      </c>
      <c r="D1118" s="1">
        <v>465.0</v>
      </c>
      <c r="E1118" s="1">
        <v>467.0</v>
      </c>
      <c r="F1118" s="1" t="s">
        <v>2906</v>
      </c>
      <c r="G1118" s="1" t="s">
        <v>2906</v>
      </c>
      <c r="H1118" s="1" t="s">
        <v>182</v>
      </c>
      <c r="I1118" s="1" t="s">
        <v>2275</v>
      </c>
      <c r="J1118" s="1" t="s">
        <v>2877</v>
      </c>
      <c r="K1118" s="1" t="s">
        <v>2277</v>
      </c>
      <c r="L1118" s="1"/>
      <c r="M1118" s="1" t="s">
        <v>185</v>
      </c>
      <c r="N1118" s="6">
        <f>IFERROR(__xludf.DUMMYFUNCTION("IF(REGEXMATCH(A1118, ""^00-""), 0, IF(AND(EQ(F1118, """"), EQ(G1118, """")), 1, 0))"),0.0)</f>
        <v>0</v>
      </c>
      <c r="O1118" s="6">
        <f>IFERROR(__xludf.DUMMYFUNCTION("IF(REGEXMATCH(A1118, ""^00-""), 0, IF(AND(NE(F1118, """"), EQ(G1118, """")), 1, 0))"),0.0)</f>
        <v>0</v>
      </c>
      <c r="P1118" s="6">
        <f>IFERROR(__xludf.DUMMYFUNCTION("IF(REGEXMATCH(A1118, ""^00-""), 0, IF(AND(EQ(F1118, """"), NE(G1118, """")), 1, 0))"),0.0)</f>
        <v>0</v>
      </c>
      <c r="Q1118" s="6">
        <f>IFERROR(__xludf.DUMMYFUNCTION("IF(REGEXMATCH(A1118, ""^00-""), 0, IF(AND(NE(F1118, """"), NE(G1118, """")), 1, 0))"),1.0)</f>
        <v>1</v>
      </c>
      <c r="R1118" s="6">
        <f t="shared" si="1"/>
        <v>1</v>
      </c>
    </row>
    <row r="1119">
      <c r="A1119" s="1" t="s">
        <v>141</v>
      </c>
      <c r="B1119" s="1" t="s">
        <v>2907</v>
      </c>
      <c r="C1119" s="1">
        <v>2.0</v>
      </c>
      <c r="D1119" s="1">
        <v>465.0</v>
      </c>
      <c r="E1119" s="1">
        <v>467.0</v>
      </c>
      <c r="F1119" s="1" t="s">
        <v>2908</v>
      </c>
      <c r="G1119" s="1" t="s">
        <v>2908</v>
      </c>
      <c r="H1119" s="1" t="s">
        <v>190</v>
      </c>
      <c r="I1119" s="1" t="s">
        <v>2275</v>
      </c>
      <c r="J1119" s="1" t="s">
        <v>2877</v>
      </c>
      <c r="K1119" s="1" t="s">
        <v>2277</v>
      </c>
      <c r="L1119" s="1"/>
      <c r="M1119" s="1" t="s">
        <v>191</v>
      </c>
      <c r="N1119" s="6">
        <f>IFERROR(__xludf.DUMMYFUNCTION("IF(REGEXMATCH(A1119, ""^00-""), 0, IF(AND(EQ(F1119, """"), EQ(G1119, """")), 1, 0))"),0.0)</f>
        <v>0</v>
      </c>
      <c r="O1119" s="6">
        <f>IFERROR(__xludf.DUMMYFUNCTION("IF(REGEXMATCH(A1119, ""^00-""), 0, IF(AND(NE(F1119, """"), EQ(G1119, """")), 1, 0))"),0.0)</f>
        <v>0</v>
      </c>
      <c r="P1119" s="6">
        <f>IFERROR(__xludf.DUMMYFUNCTION("IF(REGEXMATCH(A1119, ""^00-""), 0, IF(AND(EQ(F1119, """"), NE(G1119, """")), 1, 0))"),0.0)</f>
        <v>0</v>
      </c>
      <c r="Q1119" s="6">
        <f>IFERROR(__xludf.DUMMYFUNCTION("IF(REGEXMATCH(A1119, ""^00-""), 0, IF(AND(NE(F1119, """"), NE(G1119, """")), 1, 0))"),1.0)</f>
        <v>1</v>
      </c>
      <c r="R1119" s="6">
        <f t="shared" si="1"/>
        <v>1</v>
      </c>
    </row>
    <row r="1120">
      <c r="A1120" s="1" t="s">
        <v>141</v>
      </c>
      <c r="B1120" s="1" t="s">
        <v>2909</v>
      </c>
      <c r="C1120" s="1">
        <v>2.0</v>
      </c>
      <c r="D1120" s="1">
        <v>465.0</v>
      </c>
      <c r="E1120" s="1">
        <v>467.0</v>
      </c>
      <c r="F1120" s="1" t="s">
        <v>2910</v>
      </c>
      <c r="G1120" s="1" t="s">
        <v>2910</v>
      </c>
      <c r="H1120" s="1" t="s">
        <v>190</v>
      </c>
      <c r="I1120" s="1" t="s">
        <v>2275</v>
      </c>
      <c r="J1120" s="1" t="s">
        <v>2877</v>
      </c>
      <c r="K1120" s="1" t="s">
        <v>2277</v>
      </c>
      <c r="L1120" s="1"/>
      <c r="M1120" s="1" t="s">
        <v>191</v>
      </c>
      <c r="N1120" s="6">
        <f>IFERROR(__xludf.DUMMYFUNCTION("IF(REGEXMATCH(A1120, ""^00-""), 0, IF(AND(EQ(F1120, """"), EQ(G1120, """")), 1, 0))"),0.0)</f>
        <v>0</v>
      </c>
      <c r="O1120" s="6">
        <f>IFERROR(__xludf.DUMMYFUNCTION("IF(REGEXMATCH(A1120, ""^00-""), 0, IF(AND(NE(F1120, """"), EQ(G1120, """")), 1, 0))"),0.0)</f>
        <v>0</v>
      </c>
      <c r="P1120" s="6">
        <f>IFERROR(__xludf.DUMMYFUNCTION("IF(REGEXMATCH(A1120, ""^00-""), 0, IF(AND(EQ(F1120, """"), NE(G1120, """")), 1, 0))"),0.0)</f>
        <v>0</v>
      </c>
      <c r="Q1120" s="6">
        <f>IFERROR(__xludf.DUMMYFUNCTION("IF(REGEXMATCH(A1120, ""^00-""), 0, IF(AND(NE(F1120, """"), NE(G1120, """")), 1, 0))"),1.0)</f>
        <v>1</v>
      </c>
      <c r="R1120" s="6">
        <f t="shared" si="1"/>
        <v>1</v>
      </c>
    </row>
    <row r="1121">
      <c r="A1121" s="1" t="s">
        <v>141</v>
      </c>
      <c r="B1121" s="1" t="s">
        <v>2911</v>
      </c>
      <c r="C1121" s="1">
        <v>5.0</v>
      </c>
      <c r="D1121" s="1">
        <v>462.0</v>
      </c>
      <c r="E1121" s="1">
        <v>467.0</v>
      </c>
      <c r="F1121" s="1" t="s">
        <v>2912</v>
      </c>
      <c r="G1121" s="1" t="s">
        <v>2912</v>
      </c>
      <c r="H1121" s="1" t="s">
        <v>190</v>
      </c>
      <c r="I1121" s="1" t="s">
        <v>2275</v>
      </c>
      <c r="J1121" s="1" t="s">
        <v>2877</v>
      </c>
      <c r="K1121" s="1" t="s">
        <v>2277</v>
      </c>
      <c r="L1121" s="1"/>
      <c r="M1121" s="1" t="s">
        <v>191</v>
      </c>
      <c r="N1121" s="6">
        <f>IFERROR(__xludf.DUMMYFUNCTION("IF(REGEXMATCH(A1121, ""^00-""), 0, IF(AND(EQ(F1121, """"), EQ(G1121, """")), 1, 0))"),0.0)</f>
        <v>0</v>
      </c>
      <c r="O1121" s="6">
        <f>IFERROR(__xludf.DUMMYFUNCTION("IF(REGEXMATCH(A1121, ""^00-""), 0, IF(AND(NE(F1121, """"), EQ(G1121, """")), 1, 0))"),0.0)</f>
        <v>0</v>
      </c>
      <c r="P1121" s="6">
        <f>IFERROR(__xludf.DUMMYFUNCTION("IF(REGEXMATCH(A1121, ""^00-""), 0, IF(AND(EQ(F1121, """"), NE(G1121, """")), 1, 0))"),0.0)</f>
        <v>0</v>
      </c>
      <c r="Q1121" s="6">
        <f>IFERROR(__xludf.DUMMYFUNCTION("IF(REGEXMATCH(A1121, ""^00-""), 0, IF(AND(NE(F1121, """"), NE(G1121, """")), 1, 0))"),1.0)</f>
        <v>1</v>
      </c>
      <c r="R1121" s="6">
        <f t="shared" si="1"/>
        <v>1</v>
      </c>
    </row>
    <row r="1122">
      <c r="A1122" s="1" t="s">
        <v>141</v>
      </c>
      <c r="B1122" s="1" t="s">
        <v>2913</v>
      </c>
      <c r="C1122" s="1">
        <v>4.0</v>
      </c>
      <c r="D1122" s="1">
        <v>463.0</v>
      </c>
      <c r="E1122" s="1">
        <v>467.0</v>
      </c>
      <c r="F1122" s="1" t="s">
        <v>2914</v>
      </c>
      <c r="G1122" s="1" t="s">
        <v>2914</v>
      </c>
      <c r="H1122" s="1" t="s">
        <v>190</v>
      </c>
      <c r="I1122" s="1" t="s">
        <v>2275</v>
      </c>
      <c r="J1122" s="1" t="s">
        <v>2877</v>
      </c>
      <c r="K1122" s="1" t="s">
        <v>2277</v>
      </c>
      <c r="L1122" s="1"/>
      <c r="M1122" s="1" t="s">
        <v>191</v>
      </c>
      <c r="N1122" s="6">
        <f>IFERROR(__xludf.DUMMYFUNCTION("IF(REGEXMATCH(A1122, ""^00-""), 0, IF(AND(EQ(F1122, """"), EQ(G1122, """")), 1, 0))"),0.0)</f>
        <v>0</v>
      </c>
      <c r="O1122" s="6">
        <f>IFERROR(__xludf.DUMMYFUNCTION("IF(REGEXMATCH(A1122, ""^00-""), 0, IF(AND(NE(F1122, """"), EQ(G1122, """")), 1, 0))"),0.0)</f>
        <v>0</v>
      </c>
      <c r="P1122" s="6">
        <f>IFERROR(__xludf.DUMMYFUNCTION("IF(REGEXMATCH(A1122, ""^00-""), 0, IF(AND(EQ(F1122, """"), NE(G1122, """")), 1, 0))"),0.0)</f>
        <v>0</v>
      </c>
      <c r="Q1122" s="6">
        <f>IFERROR(__xludf.DUMMYFUNCTION("IF(REGEXMATCH(A1122, ""^00-""), 0, IF(AND(NE(F1122, """"), NE(G1122, """")), 1, 0))"),1.0)</f>
        <v>1</v>
      </c>
      <c r="R1122" s="6">
        <f t="shared" si="1"/>
        <v>1</v>
      </c>
    </row>
    <row r="1123">
      <c r="A1123" s="1" t="s">
        <v>141</v>
      </c>
      <c r="B1123" s="1" t="s">
        <v>2915</v>
      </c>
      <c r="C1123" s="1">
        <v>5.0</v>
      </c>
      <c r="D1123" s="1">
        <v>462.0</v>
      </c>
      <c r="E1123" s="1">
        <v>467.0</v>
      </c>
      <c r="F1123" s="1" t="s">
        <v>2916</v>
      </c>
      <c r="G1123" s="1" t="s">
        <v>2916</v>
      </c>
      <c r="H1123" s="1" t="s">
        <v>190</v>
      </c>
      <c r="I1123" s="1" t="s">
        <v>2275</v>
      </c>
      <c r="J1123" s="1" t="s">
        <v>2877</v>
      </c>
      <c r="K1123" s="1" t="s">
        <v>2277</v>
      </c>
      <c r="L1123" s="1"/>
      <c r="M1123" s="1" t="s">
        <v>191</v>
      </c>
      <c r="N1123" s="6">
        <f>IFERROR(__xludf.DUMMYFUNCTION("IF(REGEXMATCH(A1123, ""^00-""), 0, IF(AND(EQ(F1123, """"), EQ(G1123, """")), 1, 0))"),0.0)</f>
        <v>0</v>
      </c>
      <c r="O1123" s="6">
        <f>IFERROR(__xludf.DUMMYFUNCTION("IF(REGEXMATCH(A1123, ""^00-""), 0, IF(AND(NE(F1123, """"), EQ(G1123, """")), 1, 0))"),0.0)</f>
        <v>0</v>
      </c>
      <c r="P1123" s="6">
        <f>IFERROR(__xludf.DUMMYFUNCTION("IF(REGEXMATCH(A1123, ""^00-""), 0, IF(AND(EQ(F1123, """"), NE(G1123, """")), 1, 0))"),0.0)</f>
        <v>0</v>
      </c>
      <c r="Q1123" s="6">
        <f>IFERROR(__xludf.DUMMYFUNCTION("IF(REGEXMATCH(A1123, ""^00-""), 0, IF(AND(NE(F1123, """"), NE(G1123, """")), 1, 0))"),1.0)</f>
        <v>1</v>
      </c>
      <c r="R1123" s="6">
        <f t="shared" si="1"/>
        <v>1</v>
      </c>
    </row>
    <row r="1124">
      <c r="A1124" s="1" t="s">
        <v>141</v>
      </c>
      <c r="B1124" s="1" t="s">
        <v>2917</v>
      </c>
      <c r="C1124" s="1">
        <v>5.0</v>
      </c>
      <c r="D1124" s="1">
        <v>462.0</v>
      </c>
      <c r="E1124" s="1">
        <v>467.0</v>
      </c>
      <c r="F1124" s="1" t="s">
        <v>2918</v>
      </c>
      <c r="G1124" s="1" t="s">
        <v>2918</v>
      </c>
      <c r="H1124" s="1" t="s">
        <v>190</v>
      </c>
      <c r="I1124" s="1" t="s">
        <v>2275</v>
      </c>
      <c r="J1124" s="1" t="s">
        <v>2877</v>
      </c>
      <c r="K1124" s="1" t="s">
        <v>2277</v>
      </c>
      <c r="L1124" s="1"/>
      <c r="M1124" s="1" t="s">
        <v>191</v>
      </c>
      <c r="N1124" s="6">
        <f>IFERROR(__xludf.DUMMYFUNCTION("IF(REGEXMATCH(A1124, ""^00-""), 0, IF(AND(EQ(F1124, """"), EQ(G1124, """")), 1, 0))"),0.0)</f>
        <v>0</v>
      </c>
      <c r="O1124" s="6">
        <f>IFERROR(__xludf.DUMMYFUNCTION("IF(REGEXMATCH(A1124, ""^00-""), 0, IF(AND(NE(F1124, """"), EQ(G1124, """")), 1, 0))"),0.0)</f>
        <v>0</v>
      </c>
      <c r="P1124" s="6">
        <f>IFERROR(__xludf.DUMMYFUNCTION("IF(REGEXMATCH(A1124, ""^00-""), 0, IF(AND(EQ(F1124, """"), NE(G1124, """")), 1, 0))"),0.0)</f>
        <v>0</v>
      </c>
      <c r="Q1124" s="6">
        <f>IFERROR(__xludf.DUMMYFUNCTION("IF(REGEXMATCH(A1124, ""^00-""), 0, IF(AND(NE(F1124, """"), NE(G1124, """")), 1, 0))"),1.0)</f>
        <v>1</v>
      </c>
      <c r="R1124" s="6">
        <f t="shared" si="1"/>
        <v>1</v>
      </c>
    </row>
    <row r="1125">
      <c r="A1125" s="1" t="s">
        <v>141</v>
      </c>
      <c r="B1125" s="1" t="s">
        <v>2919</v>
      </c>
      <c r="C1125" s="1">
        <v>4.0</v>
      </c>
      <c r="D1125" s="1">
        <v>463.0</v>
      </c>
      <c r="E1125" s="1">
        <v>467.0</v>
      </c>
      <c r="F1125" s="1" t="s">
        <v>2920</v>
      </c>
      <c r="G1125" s="1" t="s">
        <v>2920</v>
      </c>
      <c r="H1125" s="1" t="s">
        <v>190</v>
      </c>
      <c r="I1125" s="1" t="s">
        <v>2275</v>
      </c>
      <c r="J1125" s="1" t="s">
        <v>2877</v>
      </c>
      <c r="K1125" s="1" t="s">
        <v>2277</v>
      </c>
      <c r="L1125" s="1"/>
      <c r="M1125" s="1" t="s">
        <v>191</v>
      </c>
      <c r="N1125" s="6">
        <f>IFERROR(__xludf.DUMMYFUNCTION("IF(REGEXMATCH(A1125, ""^00-""), 0, IF(AND(EQ(F1125, """"), EQ(G1125, """")), 1, 0))"),0.0)</f>
        <v>0</v>
      </c>
      <c r="O1125" s="6">
        <f>IFERROR(__xludf.DUMMYFUNCTION("IF(REGEXMATCH(A1125, ""^00-""), 0, IF(AND(NE(F1125, """"), EQ(G1125, """")), 1, 0))"),0.0)</f>
        <v>0</v>
      </c>
      <c r="P1125" s="6">
        <f>IFERROR(__xludf.DUMMYFUNCTION("IF(REGEXMATCH(A1125, ""^00-""), 0, IF(AND(EQ(F1125, """"), NE(G1125, """")), 1, 0))"),0.0)</f>
        <v>0</v>
      </c>
      <c r="Q1125" s="6">
        <f>IFERROR(__xludf.DUMMYFUNCTION("IF(REGEXMATCH(A1125, ""^00-""), 0, IF(AND(NE(F1125, """"), NE(G1125, """")), 1, 0))"),1.0)</f>
        <v>1</v>
      </c>
      <c r="R1125" s="6">
        <f t="shared" si="1"/>
        <v>1</v>
      </c>
    </row>
    <row r="1126">
      <c r="A1126" s="1" t="s">
        <v>141</v>
      </c>
      <c r="B1126" s="1" t="s">
        <v>2921</v>
      </c>
      <c r="C1126" s="1">
        <v>4.0</v>
      </c>
      <c r="D1126" s="1">
        <v>463.0</v>
      </c>
      <c r="E1126" s="1">
        <v>467.0</v>
      </c>
      <c r="F1126" s="1" t="s">
        <v>2922</v>
      </c>
      <c r="G1126" s="1" t="s">
        <v>2922</v>
      </c>
      <c r="H1126" s="1" t="s">
        <v>190</v>
      </c>
      <c r="I1126" s="1" t="s">
        <v>2275</v>
      </c>
      <c r="J1126" s="1" t="s">
        <v>2877</v>
      </c>
      <c r="K1126" s="1" t="s">
        <v>2277</v>
      </c>
      <c r="L1126" s="1"/>
      <c r="M1126" s="1" t="s">
        <v>191</v>
      </c>
      <c r="N1126" s="6">
        <f>IFERROR(__xludf.DUMMYFUNCTION("IF(REGEXMATCH(A1126, ""^00-""), 0, IF(AND(EQ(F1126, """"), EQ(G1126, """")), 1, 0))"),0.0)</f>
        <v>0</v>
      </c>
      <c r="O1126" s="6">
        <f>IFERROR(__xludf.DUMMYFUNCTION("IF(REGEXMATCH(A1126, ""^00-""), 0, IF(AND(NE(F1126, """"), EQ(G1126, """")), 1, 0))"),0.0)</f>
        <v>0</v>
      </c>
      <c r="P1126" s="6">
        <f>IFERROR(__xludf.DUMMYFUNCTION("IF(REGEXMATCH(A1126, ""^00-""), 0, IF(AND(EQ(F1126, """"), NE(G1126, """")), 1, 0))"),0.0)</f>
        <v>0</v>
      </c>
      <c r="Q1126" s="6">
        <f>IFERROR(__xludf.DUMMYFUNCTION("IF(REGEXMATCH(A1126, ""^00-""), 0, IF(AND(NE(F1126, """"), NE(G1126, """")), 1, 0))"),1.0)</f>
        <v>1</v>
      </c>
      <c r="R1126" s="6">
        <f t="shared" si="1"/>
        <v>1</v>
      </c>
    </row>
    <row r="1127">
      <c r="A1127" s="1" t="s">
        <v>141</v>
      </c>
      <c r="B1127" s="1" t="s">
        <v>2923</v>
      </c>
      <c r="C1127" s="1">
        <v>4.0</v>
      </c>
      <c r="D1127" s="1">
        <v>463.0</v>
      </c>
      <c r="E1127" s="1">
        <v>467.0</v>
      </c>
      <c r="F1127" s="1" t="s">
        <v>2924</v>
      </c>
      <c r="G1127" s="1" t="s">
        <v>2924</v>
      </c>
      <c r="H1127" s="1" t="s">
        <v>182</v>
      </c>
      <c r="I1127" s="1" t="s">
        <v>2275</v>
      </c>
      <c r="J1127" s="1" t="s">
        <v>2877</v>
      </c>
      <c r="K1127" s="1" t="s">
        <v>2277</v>
      </c>
      <c r="L1127" s="1"/>
      <c r="M1127" s="1" t="s">
        <v>185</v>
      </c>
      <c r="N1127" s="6">
        <f>IFERROR(__xludf.DUMMYFUNCTION("IF(REGEXMATCH(A1127, ""^00-""), 0, IF(AND(EQ(F1127, """"), EQ(G1127, """")), 1, 0))"),0.0)</f>
        <v>0</v>
      </c>
      <c r="O1127" s="6">
        <f>IFERROR(__xludf.DUMMYFUNCTION("IF(REGEXMATCH(A1127, ""^00-""), 0, IF(AND(NE(F1127, """"), EQ(G1127, """")), 1, 0))"),0.0)</f>
        <v>0</v>
      </c>
      <c r="P1127" s="6">
        <f>IFERROR(__xludf.DUMMYFUNCTION("IF(REGEXMATCH(A1127, ""^00-""), 0, IF(AND(EQ(F1127, """"), NE(G1127, """")), 1, 0))"),0.0)</f>
        <v>0</v>
      </c>
      <c r="Q1127" s="6">
        <f>IFERROR(__xludf.DUMMYFUNCTION("IF(REGEXMATCH(A1127, ""^00-""), 0, IF(AND(NE(F1127, """"), NE(G1127, """")), 1, 0))"),1.0)</f>
        <v>1</v>
      </c>
      <c r="R1127" s="6">
        <f t="shared" si="1"/>
        <v>1</v>
      </c>
    </row>
    <row r="1128">
      <c r="A1128" s="1" t="s">
        <v>141</v>
      </c>
      <c r="B1128" s="1" t="s">
        <v>2925</v>
      </c>
      <c r="C1128" s="1">
        <v>5.0</v>
      </c>
      <c r="D1128" s="1">
        <v>462.0</v>
      </c>
      <c r="E1128" s="1">
        <v>467.0</v>
      </c>
      <c r="F1128" s="1" t="s">
        <v>2926</v>
      </c>
      <c r="G1128" s="1" t="s">
        <v>2926</v>
      </c>
      <c r="H1128" s="1" t="s">
        <v>190</v>
      </c>
      <c r="I1128" s="1" t="s">
        <v>2275</v>
      </c>
      <c r="J1128" s="1" t="s">
        <v>2877</v>
      </c>
      <c r="K1128" s="1" t="s">
        <v>2277</v>
      </c>
      <c r="L1128" s="1"/>
      <c r="M1128" s="1" t="s">
        <v>191</v>
      </c>
      <c r="N1128" s="6">
        <f>IFERROR(__xludf.DUMMYFUNCTION("IF(REGEXMATCH(A1128, ""^00-""), 0, IF(AND(EQ(F1128, """"), EQ(G1128, """")), 1, 0))"),0.0)</f>
        <v>0</v>
      </c>
      <c r="O1128" s="6">
        <f>IFERROR(__xludf.DUMMYFUNCTION("IF(REGEXMATCH(A1128, ""^00-""), 0, IF(AND(NE(F1128, """"), EQ(G1128, """")), 1, 0))"),0.0)</f>
        <v>0</v>
      </c>
      <c r="P1128" s="6">
        <f>IFERROR(__xludf.DUMMYFUNCTION("IF(REGEXMATCH(A1128, ""^00-""), 0, IF(AND(EQ(F1128, """"), NE(G1128, """")), 1, 0))"),0.0)</f>
        <v>0</v>
      </c>
      <c r="Q1128" s="6">
        <f>IFERROR(__xludf.DUMMYFUNCTION("IF(REGEXMATCH(A1128, ""^00-""), 0, IF(AND(NE(F1128, """"), NE(G1128, """")), 1, 0))"),1.0)</f>
        <v>1</v>
      </c>
      <c r="R1128" s="6">
        <f t="shared" si="1"/>
        <v>1</v>
      </c>
    </row>
    <row r="1129">
      <c r="A1129" s="1" t="s">
        <v>141</v>
      </c>
      <c r="B1129" s="1" t="s">
        <v>2927</v>
      </c>
      <c r="C1129" s="1">
        <v>4.0</v>
      </c>
      <c r="D1129" s="1">
        <v>463.0</v>
      </c>
      <c r="E1129" s="1">
        <v>467.0</v>
      </c>
      <c r="F1129" s="1" t="s">
        <v>2928</v>
      </c>
      <c r="G1129" s="1" t="s">
        <v>2928</v>
      </c>
      <c r="H1129" s="1" t="s">
        <v>190</v>
      </c>
      <c r="I1129" s="1" t="s">
        <v>2275</v>
      </c>
      <c r="J1129" s="1" t="s">
        <v>2877</v>
      </c>
      <c r="K1129" s="1" t="s">
        <v>2277</v>
      </c>
      <c r="L1129" s="1"/>
      <c r="M1129" s="1" t="s">
        <v>191</v>
      </c>
      <c r="N1129" s="6">
        <f>IFERROR(__xludf.DUMMYFUNCTION("IF(REGEXMATCH(A1129, ""^00-""), 0, IF(AND(EQ(F1129, """"), EQ(G1129, """")), 1, 0))"),0.0)</f>
        <v>0</v>
      </c>
      <c r="O1129" s="6">
        <f>IFERROR(__xludf.DUMMYFUNCTION("IF(REGEXMATCH(A1129, ""^00-""), 0, IF(AND(NE(F1129, """"), EQ(G1129, """")), 1, 0))"),0.0)</f>
        <v>0</v>
      </c>
      <c r="P1129" s="6">
        <f>IFERROR(__xludf.DUMMYFUNCTION("IF(REGEXMATCH(A1129, ""^00-""), 0, IF(AND(EQ(F1129, """"), NE(G1129, """")), 1, 0))"),0.0)</f>
        <v>0</v>
      </c>
      <c r="Q1129" s="6">
        <f>IFERROR(__xludf.DUMMYFUNCTION("IF(REGEXMATCH(A1129, ""^00-""), 0, IF(AND(NE(F1129, """"), NE(G1129, """")), 1, 0))"),1.0)</f>
        <v>1</v>
      </c>
      <c r="R1129" s="6">
        <f t="shared" si="1"/>
        <v>1</v>
      </c>
    </row>
    <row r="1130">
      <c r="A1130" s="1" t="s">
        <v>141</v>
      </c>
      <c r="B1130" s="1" t="s">
        <v>2929</v>
      </c>
      <c r="C1130" s="1">
        <v>5.0</v>
      </c>
      <c r="D1130" s="1">
        <v>462.0</v>
      </c>
      <c r="E1130" s="1">
        <v>467.0</v>
      </c>
      <c r="F1130" s="1" t="s">
        <v>2930</v>
      </c>
      <c r="G1130" s="1" t="s">
        <v>2930</v>
      </c>
      <c r="H1130" s="1" t="s">
        <v>190</v>
      </c>
      <c r="I1130" s="1" t="s">
        <v>2275</v>
      </c>
      <c r="J1130" s="1" t="s">
        <v>2877</v>
      </c>
      <c r="K1130" s="1" t="s">
        <v>2277</v>
      </c>
      <c r="L1130" s="1"/>
      <c r="M1130" s="1" t="s">
        <v>191</v>
      </c>
      <c r="N1130" s="6">
        <f>IFERROR(__xludf.DUMMYFUNCTION("IF(REGEXMATCH(A1130, ""^00-""), 0, IF(AND(EQ(F1130, """"), EQ(G1130, """")), 1, 0))"),0.0)</f>
        <v>0</v>
      </c>
      <c r="O1130" s="6">
        <f>IFERROR(__xludf.DUMMYFUNCTION("IF(REGEXMATCH(A1130, ""^00-""), 0, IF(AND(NE(F1130, """"), EQ(G1130, """")), 1, 0))"),0.0)</f>
        <v>0</v>
      </c>
      <c r="P1130" s="6">
        <f>IFERROR(__xludf.DUMMYFUNCTION("IF(REGEXMATCH(A1130, ""^00-""), 0, IF(AND(EQ(F1130, """"), NE(G1130, """")), 1, 0))"),0.0)</f>
        <v>0</v>
      </c>
      <c r="Q1130" s="6">
        <f>IFERROR(__xludf.DUMMYFUNCTION("IF(REGEXMATCH(A1130, ""^00-""), 0, IF(AND(NE(F1130, """"), NE(G1130, """")), 1, 0))"),1.0)</f>
        <v>1</v>
      </c>
      <c r="R1130" s="6">
        <f t="shared" si="1"/>
        <v>1</v>
      </c>
    </row>
    <row r="1131">
      <c r="A1131" s="1" t="s">
        <v>141</v>
      </c>
      <c r="B1131" s="1" t="s">
        <v>2931</v>
      </c>
      <c r="C1131" s="1">
        <v>5.0</v>
      </c>
      <c r="D1131" s="1">
        <v>462.0</v>
      </c>
      <c r="E1131" s="1">
        <v>467.0</v>
      </c>
      <c r="F1131" s="1" t="s">
        <v>2932</v>
      </c>
      <c r="G1131" s="1" t="s">
        <v>2932</v>
      </c>
      <c r="H1131" s="1" t="s">
        <v>190</v>
      </c>
      <c r="I1131" s="1" t="s">
        <v>2275</v>
      </c>
      <c r="J1131" s="1" t="s">
        <v>2877</v>
      </c>
      <c r="K1131" s="1" t="s">
        <v>2277</v>
      </c>
      <c r="L1131" s="1"/>
      <c r="M1131" s="1" t="s">
        <v>191</v>
      </c>
      <c r="N1131" s="6">
        <f>IFERROR(__xludf.DUMMYFUNCTION("IF(REGEXMATCH(A1131, ""^00-""), 0, IF(AND(EQ(F1131, """"), EQ(G1131, """")), 1, 0))"),0.0)</f>
        <v>0</v>
      </c>
      <c r="O1131" s="6">
        <f>IFERROR(__xludf.DUMMYFUNCTION("IF(REGEXMATCH(A1131, ""^00-""), 0, IF(AND(NE(F1131, """"), EQ(G1131, """")), 1, 0))"),0.0)</f>
        <v>0</v>
      </c>
      <c r="P1131" s="6">
        <f>IFERROR(__xludf.DUMMYFUNCTION("IF(REGEXMATCH(A1131, ""^00-""), 0, IF(AND(EQ(F1131, """"), NE(G1131, """")), 1, 0))"),0.0)</f>
        <v>0</v>
      </c>
      <c r="Q1131" s="6">
        <f>IFERROR(__xludf.DUMMYFUNCTION("IF(REGEXMATCH(A1131, ""^00-""), 0, IF(AND(NE(F1131, """"), NE(G1131, """")), 1, 0))"),1.0)</f>
        <v>1</v>
      </c>
      <c r="R1131" s="6">
        <f t="shared" si="1"/>
        <v>1</v>
      </c>
    </row>
    <row r="1132">
      <c r="A1132" s="1" t="s">
        <v>141</v>
      </c>
      <c r="B1132" s="1" t="s">
        <v>2933</v>
      </c>
      <c r="C1132" s="1">
        <v>5.0</v>
      </c>
      <c r="D1132" s="1">
        <v>462.0</v>
      </c>
      <c r="E1132" s="1">
        <v>467.0</v>
      </c>
      <c r="F1132" s="1" t="s">
        <v>2934</v>
      </c>
      <c r="G1132" s="1" t="s">
        <v>2934</v>
      </c>
      <c r="H1132" s="1" t="s">
        <v>190</v>
      </c>
      <c r="I1132" s="1" t="s">
        <v>2275</v>
      </c>
      <c r="J1132" s="1" t="s">
        <v>2877</v>
      </c>
      <c r="K1132" s="1" t="s">
        <v>2277</v>
      </c>
      <c r="L1132" s="1"/>
      <c r="M1132" s="1" t="s">
        <v>191</v>
      </c>
      <c r="N1132" s="6">
        <f>IFERROR(__xludf.DUMMYFUNCTION("IF(REGEXMATCH(A1132, ""^00-""), 0, IF(AND(EQ(F1132, """"), EQ(G1132, """")), 1, 0))"),0.0)</f>
        <v>0</v>
      </c>
      <c r="O1132" s="6">
        <f>IFERROR(__xludf.DUMMYFUNCTION("IF(REGEXMATCH(A1132, ""^00-""), 0, IF(AND(NE(F1132, """"), EQ(G1132, """")), 1, 0))"),0.0)</f>
        <v>0</v>
      </c>
      <c r="P1132" s="6">
        <f>IFERROR(__xludf.DUMMYFUNCTION("IF(REGEXMATCH(A1132, ""^00-""), 0, IF(AND(EQ(F1132, """"), NE(G1132, """")), 1, 0))"),0.0)</f>
        <v>0</v>
      </c>
      <c r="Q1132" s="6">
        <f>IFERROR(__xludf.DUMMYFUNCTION("IF(REGEXMATCH(A1132, ""^00-""), 0, IF(AND(NE(F1132, """"), NE(G1132, """")), 1, 0))"),1.0)</f>
        <v>1</v>
      </c>
      <c r="R1132" s="6">
        <f t="shared" si="1"/>
        <v>1</v>
      </c>
    </row>
    <row r="1133">
      <c r="A1133" s="1" t="s">
        <v>141</v>
      </c>
      <c r="B1133" s="1" t="s">
        <v>2935</v>
      </c>
      <c r="C1133" s="1">
        <v>5.0</v>
      </c>
      <c r="D1133" s="1">
        <v>462.0</v>
      </c>
      <c r="E1133" s="1">
        <v>467.0</v>
      </c>
      <c r="F1133" s="1" t="s">
        <v>2936</v>
      </c>
      <c r="G1133" s="1" t="s">
        <v>2936</v>
      </c>
      <c r="H1133" s="1" t="s">
        <v>190</v>
      </c>
      <c r="I1133" s="1" t="s">
        <v>2275</v>
      </c>
      <c r="J1133" s="1" t="s">
        <v>2877</v>
      </c>
      <c r="K1133" s="1" t="s">
        <v>2277</v>
      </c>
      <c r="L1133" s="1"/>
      <c r="M1133" s="1" t="s">
        <v>191</v>
      </c>
      <c r="N1133" s="6">
        <f>IFERROR(__xludf.DUMMYFUNCTION("IF(REGEXMATCH(A1133, ""^00-""), 0, IF(AND(EQ(F1133, """"), EQ(G1133, """")), 1, 0))"),0.0)</f>
        <v>0</v>
      </c>
      <c r="O1133" s="6">
        <f>IFERROR(__xludf.DUMMYFUNCTION("IF(REGEXMATCH(A1133, ""^00-""), 0, IF(AND(NE(F1133, """"), EQ(G1133, """")), 1, 0))"),0.0)</f>
        <v>0</v>
      </c>
      <c r="P1133" s="6">
        <f>IFERROR(__xludf.DUMMYFUNCTION("IF(REGEXMATCH(A1133, ""^00-""), 0, IF(AND(EQ(F1133, """"), NE(G1133, """")), 1, 0))"),0.0)</f>
        <v>0</v>
      </c>
      <c r="Q1133" s="6">
        <f>IFERROR(__xludf.DUMMYFUNCTION("IF(REGEXMATCH(A1133, ""^00-""), 0, IF(AND(NE(F1133, """"), NE(G1133, """")), 1, 0))"),1.0)</f>
        <v>1</v>
      </c>
      <c r="R1133" s="6">
        <f t="shared" si="1"/>
        <v>1</v>
      </c>
    </row>
    <row r="1134">
      <c r="A1134" s="1" t="s">
        <v>141</v>
      </c>
      <c r="B1134" s="1" t="s">
        <v>2937</v>
      </c>
      <c r="C1134" s="1">
        <v>5.0</v>
      </c>
      <c r="D1134" s="1">
        <v>462.0</v>
      </c>
      <c r="E1134" s="1">
        <v>467.0</v>
      </c>
      <c r="F1134" s="1" t="s">
        <v>2938</v>
      </c>
      <c r="G1134" s="1" t="s">
        <v>2938</v>
      </c>
      <c r="H1134" s="1" t="s">
        <v>190</v>
      </c>
      <c r="I1134" s="1" t="s">
        <v>2275</v>
      </c>
      <c r="J1134" s="1" t="s">
        <v>2877</v>
      </c>
      <c r="K1134" s="1" t="s">
        <v>2277</v>
      </c>
      <c r="L1134" s="1"/>
      <c r="M1134" s="1" t="s">
        <v>191</v>
      </c>
      <c r="N1134" s="6">
        <f>IFERROR(__xludf.DUMMYFUNCTION("IF(REGEXMATCH(A1134, ""^00-""), 0, IF(AND(EQ(F1134, """"), EQ(G1134, """")), 1, 0))"),0.0)</f>
        <v>0</v>
      </c>
      <c r="O1134" s="6">
        <f>IFERROR(__xludf.DUMMYFUNCTION("IF(REGEXMATCH(A1134, ""^00-""), 0, IF(AND(NE(F1134, """"), EQ(G1134, """")), 1, 0))"),0.0)</f>
        <v>0</v>
      </c>
      <c r="P1134" s="6">
        <f>IFERROR(__xludf.DUMMYFUNCTION("IF(REGEXMATCH(A1134, ""^00-""), 0, IF(AND(EQ(F1134, """"), NE(G1134, """")), 1, 0))"),0.0)</f>
        <v>0</v>
      </c>
      <c r="Q1134" s="6">
        <f>IFERROR(__xludf.DUMMYFUNCTION("IF(REGEXMATCH(A1134, ""^00-""), 0, IF(AND(NE(F1134, """"), NE(G1134, """")), 1, 0))"),1.0)</f>
        <v>1</v>
      </c>
      <c r="R1134" s="6">
        <f t="shared" si="1"/>
        <v>1</v>
      </c>
    </row>
    <row r="1135">
      <c r="A1135" s="1" t="s">
        <v>141</v>
      </c>
      <c r="B1135" s="1" t="s">
        <v>2939</v>
      </c>
      <c r="C1135" s="1">
        <v>5.0</v>
      </c>
      <c r="D1135" s="1">
        <v>462.0</v>
      </c>
      <c r="E1135" s="1">
        <v>467.0</v>
      </c>
      <c r="F1135" s="1" t="s">
        <v>2940</v>
      </c>
      <c r="G1135" s="1" t="s">
        <v>2940</v>
      </c>
      <c r="H1135" s="1" t="s">
        <v>190</v>
      </c>
      <c r="I1135" s="1" t="s">
        <v>2275</v>
      </c>
      <c r="J1135" s="1" t="s">
        <v>2877</v>
      </c>
      <c r="K1135" s="1" t="s">
        <v>2277</v>
      </c>
      <c r="L1135" s="1"/>
      <c r="M1135" s="1" t="s">
        <v>191</v>
      </c>
      <c r="N1135" s="6">
        <f>IFERROR(__xludf.DUMMYFUNCTION("IF(REGEXMATCH(A1135, ""^00-""), 0, IF(AND(EQ(F1135, """"), EQ(G1135, """")), 1, 0))"),0.0)</f>
        <v>0</v>
      </c>
      <c r="O1135" s="6">
        <f>IFERROR(__xludf.DUMMYFUNCTION("IF(REGEXMATCH(A1135, ""^00-""), 0, IF(AND(NE(F1135, """"), EQ(G1135, """")), 1, 0))"),0.0)</f>
        <v>0</v>
      </c>
      <c r="P1135" s="6">
        <f>IFERROR(__xludf.DUMMYFUNCTION("IF(REGEXMATCH(A1135, ""^00-""), 0, IF(AND(EQ(F1135, """"), NE(G1135, """")), 1, 0))"),0.0)</f>
        <v>0</v>
      </c>
      <c r="Q1135" s="6">
        <f>IFERROR(__xludf.DUMMYFUNCTION("IF(REGEXMATCH(A1135, ""^00-""), 0, IF(AND(NE(F1135, """"), NE(G1135, """")), 1, 0))"),1.0)</f>
        <v>1</v>
      </c>
      <c r="R1135" s="6">
        <f t="shared" si="1"/>
        <v>1</v>
      </c>
    </row>
    <row r="1136">
      <c r="A1136" s="1" t="s">
        <v>141</v>
      </c>
      <c r="B1136" s="1" t="s">
        <v>2941</v>
      </c>
      <c r="C1136" s="1">
        <v>5.0</v>
      </c>
      <c r="D1136" s="1">
        <v>462.0</v>
      </c>
      <c r="E1136" s="1">
        <v>467.0</v>
      </c>
      <c r="F1136" s="1" t="s">
        <v>2942</v>
      </c>
      <c r="G1136" s="1" t="s">
        <v>2942</v>
      </c>
      <c r="H1136" s="1" t="s">
        <v>190</v>
      </c>
      <c r="I1136" s="1" t="s">
        <v>2275</v>
      </c>
      <c r="J1136" s="1" t="s">
        <v>2877</v>
      </c>
      <c r="K1136" s="1" t="s">
        <v>2277</v>
      </c>
      <c r="L1136" s="1"/>
      <c r="M1136" s="1" t="s">
        <v>191</v>
      </c>
      <c r="N1136" s="6">
        <f>IFERROR(__xludf.DUMMYFUNCTION("IF(REGEXMATCH(A1136, ""^00-""), 0, IF(AND(EQ(F1136, """"), EQ(G1136, """")), 1, 0))"),0.0)</f>
        <v>0</v>
      </c>
      <c r="O1136" s="6">
        <f>IFERROR(__xludf.DUMMYFUNCTION("IF(REGEXMATCH(A1136, ""^00-""), 0, IF(AND(NE(F1136, """"), EQ(G1136, """")), 1, 0))"),0.0)</f>
        <v>0</v>
      </c>
      <c r="P1136" s="6">
        <f>IFERROR(__xludf.DUMMYFUNCTION("IF(REGEXMATCH(A1136, ""^00-""), 0, IF(AND(EQ(F1136, """"), NE(G1136, """")), 1, 0))"),0.0)</f>
        <v>0</v>
      </c>
      <c r="Q1136" s="6">
        <f>IFERROR(__xludf.DUMMYFUNCTION("IF(REGEXMATCH(A1136, ""^00-""), 0, IF(AND(NE(F1136, """"), NE(G1136, """")), 1, 0))"),1.0)</f>
        <v>1</v>
      </c>
      <c r="R1136" s="6">
        <f t="shared" si="1"/>
        <v>1</v>
      </c>
    </row>
    <row r="1137">
      <c r="A1137" s="1" t="s">
        <v>141</v>
      </c>
      <c r="B1137" s="1" t="s">
        <v>2943</v>
      </c>
      <c r="C1137" s="1">
        <v>5.0</v>
      </c>
      <c r="D1137" s="1">
        <v>462.0</v>
      </c>
      <c r="E1137" s="1">
        <v>467.0</v>
      </c>
      <c r="F1137" s="1" t="s">
        <v>2944</v>
      </c>
      <c r="G1137" s="1" t="s">
        <v>2944</v>
      </c>
      <c r="H1137" s="1" t="s">
        <v>190</v>
      </c>
      <c r="I1137" s="1" t="s">
        <v>2275</v>
      </c>
      <c r="J1137" s="1" t="s">
        <v>2877</v>
      </c>
      <c r="K1137" s="1" t="s">
        <v>2277</v>
      </c>
      <c r="L1137" s="1"/>
      <c r="M1137" s="1" t="s">
        <v>191</v>
      </c>
      <c r="N1137" s="6">
        <f>IFERROR(__xludf.DUMMYFUNCTION("IF(REGEXMATCH(A1137, ""^00-""), 0, IF(AND(EQ(F1137, """"), EQ(G1137, """")), 1, 0))"),0.0)</f>
        <v>0</v>
      </c>
      <c r="O1137" s="6">
        <f>IFERROR(__xludf.DUMMYFUNCTION("IF(REGEXMATCH(A1137, ""^00-""), 0, IF(AND(NE(F1137, """"), EQ(G1137, """")), 1, 0))"),0.0)</f>
        <v>0</v>
      </c>
      <c r="P1137" s="6">
        <f>IFERROR(__xludf.DUMMYFUNCTION("IF(REGEXMATCH(A1137, ""^00-""), 0, IF(AND(EQ(F1137, """"), NE(G1137, """")), 1, 0))"),0.0)</f>
        <v>0</v>
      </c>
      <c r="Q1137" s="6">
        <f>IFERROR(__xludf.DUMMYFUNCTION("IF(REGEXMATCH(A1137, ""^00-""), 0, IF(AND(NE(F1137, """"), NE(G1137, """")), 1, 0))"),1.0)</f>
        <v>1</v>
      </c>
      <c r="R1137" s="6">
        <f t="shared" si="1"/>
        <v>1</v>
      </c>
    </row>
    <row r="1138">
      <c r="A1138" s="1" t="s">
        <v>141</v>
      </c>
      <c r="B1138" s="1" t="s">
        <v>2945</v>
      </c>
      <c r="C1138" s="1">
        <v>1.0</v>
      </c>
      <c r="D1138" s="1">
        <v>466.0</v>
      </c>
      <c r="E1138" s="1">
        <v>467.0</v>
      </c>
      <c r="F1138" s="1" t="s">
        <v>2946</v>
      </c>
      <c r="G1138" s="1" t="s">
        <v>2946</v>
      </c>
      <c r="H1138" s="1" t="s">
        <v>171</v>
      </c>
      <c r="I1138" s="1" t="s">
        <v>2275</v>
      </c>
      <c r="J1138" s="1" t="s">
        <v>2877</v>
      </c>
      <c r="K1138" s="1" t="s">
        <v>2277</v>
      </c>
      <c r="L1138" s="1"/>
      <c r="M1138" s="1" t="s">
        <v>171</v>
      </c>
      <c r="N1138" s="6">
        <f>IFERROR(__xludf.DUMMYFUNCTION("IF(REGEXMATCH(A1138, ""^00-""), 0, IF(AND(EQ(F1138, """"), EQ(G1138, """")), 1, 0))"),0.0)</f>
        <v>0</v>
      </c>
      <c r="O1138" s="6">
        <f>IFERROR(__xludf.DUMMYFUNCTION("IF(REGEXMATCH(A1138, ""^00-""), 0, IF(AND(NE(F1138, """"), EQ(G1138, """")), 1, 0))"),0.0)</f>
        <v>0</v>
      </c>
      <c r="P1138" s="6">
        <f>IFERROR(__xludf.DUMMYFUNCTION("IF(REGEXMATCH(A1138, ""^00-""), 0, IF(AND(EQ(F1138, """"), NE(G1138, """")), 1, 0))"),0.0)</f>
        <v>0</v>
      </c>
      <c r="Q1138" s="6">
        <f>IFERROR(__xludf.DUMMYFUNCTION("IF(REGEXMATCH(A1138, ""^00-""), 0, IF(AND(NE(F1138, """"), NE(G1138, """")), 1, 0))"),1.0)</f>
        <v>1</v>
      </c>
      <c r="R1138" s="6">
        <f t="shared" si="1"/>
        <v>1</v>
      </c>
    </row>
    <row r="1139">
      <c r="A1139" s="1" t="s">
        <v>141</v>
      </c>
      <c r="B1139" s="1" t="s">
        <v>2947</v>
      </c>
      <c r="C1139" s="1">
        <v>5.0</v>
      </c>
      <c r="D1139" s="1">
        <v>462.0</v>
      </c>
      <c r="E1139" s="1">
        <v>467.0</v>
      </c>
      <c r="F1139" s="1" t="s">
        <v>2948</v>
      </c>
      <c r="G1139" s="1" t="s">
        <v>2948</v>
      </c>
      <c r="H1139" s="1" t="s">
        <v>190</v>
      </c>
      <c r="I1139" s="1" t="s">
        <v>2275</v>
      </c>
      <c r="J1139" s="1" t="s">
        <v>2877</v>
      </c>
      <c r="K1139" s="1" t="s">
        <v>2277</v>
      </c>
      <c r="L1139" s="1"/>
      <c r="M1139" s="1" t="s">
        <v>191</v>
      </c>
      <c r="N1139" s="6">
        <f>IFERROR(__xludf.DUMMYFUNCTION("IF(REGEXMATCH(A1139, ""^00-""), 0, IF(AND(EQ(F1139, """"), EQ(G1139, """")), 1, 0))"),0.0)</f>
        <v>0</v>
      </c>
      <c r="O1139" s="6">
        <f>IFERROR(__xludf.DUMMYFUNCTION("IF(REGEXMATCH(A1139, ""^00-""), 0, IF(AND(NE(F1139, """"), EQ(G1139, """")), 1, 0))"),0.0)</f>
        <v>0</v>
      </c>
      <c r="P1139" s="6">
        <f>IFERROR(__xludf.DUMMYFUNCTION("IF(REGEXMATCH(A1139, ""^00-""), 0, IF(AND(EQ(F1139, """"), NE(G1139, """")), 1, 0))"),0.0)</f>
        <v>0</v>
      </c>
      <c r="Q1139" s="6">
        <f>IFERROR(__xludf.DUMMYFUNCTION("IF(REGEXMATCH(A1139, ""^00-""), 0, IF(AND(NE(F1139, """"), NE(G1139, """")), 1, 0))"),1.0)</f>
        <v>1</v>
      </c>
      <c r="R1139" s="6">
        <f t="shared" si="1"/>
        <v>1</v>
      </c>
    </row>
    <row r="1140">
      <c r="A1140" s="1" t="s">
        <v>141</v>
      </c>
      <c r="B1140" s="1" t="s">
        <v>2949</v>
      </c>
      <c r="C1140" s="1">
        <v>2.0</v>
      </c>
      <c r="D1140" s="1">
        <v>465.0</v>
      </c>
      <c r="E1140" s="1">
        <v>467.0</v>
      </c>
      <c r="F1140" s="1" t="s">
        <v>2950</v>
      </c>
      <c r="G1140" s="1" t="s">
        <v>2950</v>
      </c>
      <c r="H1140" s="1" t="s">
        <v>171</v>
      </c>
      <c r="I1140" s="1" t="s">
        <v>2275</v>
      </c>
      <c r="J1140" s="1" t="s">
        <v>2877</v>
      </c>
      <c r="K1140" s="1" t="s">
        <v>2277</v>
      </c>
      <c r="L1140" s="1"/>
      <c r="M1140" s="1" t="s">
        <v>171</v>
      </c>
      <c r="N1140" s="6">
        <f>IFERROR(__xludf.DUMMYFUNCTION("IF(REGEXMATCH(A1140, ""^00-""), 0, IF(AND(EQ(F1140, """"), EQ(G1140, """")), 1, 0))"),0.0)</f>
        <v>0</v>
      </c>
      <c r="O1140" s="6">
        <f>IFERROR(__xludf.DUMMYFUNCTION("IF(REGEXMATCH(A1140, ""^00-""), 0, IF(AND(NE(F1140, """"), EQ(G1140, """")), 1, 0))"),0.0)</f>
        <v>0</v>
      </c>
      <c r="P1140" s="6">
        <f>IFERROR(__xludf.DUMMYFUNCTION("IF(REGEXMATCH(A1140, ""^00-""), 0, IF(AND(EQ(F1140, """"), NE(G1140, """")), 1, 0))"),0.0)</f>
        <v>0</v>
      </c>
      <c r="Q1140" s="6">
        <f>IFERROR(__xludf.DUMMYFUNCTION("IF(REGEXMATCH(A1140, ""^00-""), 0, IF(AND(NE(F1140, """"), NE(G1140, """")), 1, 0))"),1.0)</f>
        <v>1</v>
      </c>
      <c r="R1140" s="6">
        <f t="shared" si="1"/>
        <v>1</v>
      </c>
    </row>
    <row r="1141">
      <c r="A1141" s="1" t="s">
        <v>141</v>
      </c>
      <c r="B1141" s="1" t="s">
        <v>2951</v>
      </c>
      <c r="C1141" s="1">
        <v>5.0</v>
      </c>
      <c r="D1141" s="1">
        <v>462.0</v>
      </c>
      <c r="E1141" s="1">
        <v>467.0</v>
      </c>
      <c r="F1141" s="1" t="s">
        <v>2952</v>
      </c>
      <c r="G1141" s="1" t="s">
        <v>2952</v>
      </c>
      <c r="H1141" s="1" t="s">
        <v>190</v>
      </c>
      <c r="I1141" s="1" t="s">
        <v>2275</v>
      </c>
      <c r="J1141" s="1" t="s">
        <v>2877</v>
      </c>
      <c r="K1141" s="1" t="s">
        <v>2277</v>
      </c>
      <c r="L1141" s="1"/>
      <c r="M1141" s="1" t="s">
        <v>191</v>
      </c>
      <c r="N1141" s="6">
        <f>IFERROR(__xludf.DUMMYFUNCTION("IF(REGEXMATCH(A1141, ""^00-""), 0, IF(AND(EQ(F1141, """"), EQ(G1141, """")), 1, 0))"),0.0)</f>
        <v>0</v>
      </c>
      <c r="O1141" s="6">
        <f>IFERROR(__xludf.DUMMYFUNCTION("IF(REGEXMATCH(A1141, ""^00-""), 0, IF(AND(NE(F1141, """"), EQ(G1141, """")), 1, 0))"),0.0)</f>
        <v>0</v>
      </c>
      <c r="P1141" s="6">
        <f>IFERROR(__xludf.DUMMYFUNCTION("IF(REGEXMATCH(A1141, ""^00-""), 0, IF(AND(EQ(F1141, """"), NE(G1141, """")), 1, 0))"),0.0)</f>
        <v>0</v>
      </c>
      <c r="Q1141" s="6">
        <f>IFERROR(__xludf.DUMMYFUNCTION("IF(REGEXMATCH(A1141, ""^00-""), 0, IF(AND(NE(F1141, """"), NE(G1141, """")), 1, 0))"),1.0)</f>
        <v>1</v>
      </c>
      <c r="R1141" s="6">
        <f t="shared" si="1"/>
        <v>1</v>
      </c>
    </row>
    <row r="1142">
      <c r="A1142" s="1" t="s">
        <v>141</v>
      </c>
      <c r="B1142" s="1" t="s">
        <v>2953</v>
      </c>
      <c r="C1142" s="1">
        <v>1.0</v>
      </c>
      <c r="D1142" s="1">
        <v>466.0</v>
      </c>
      <c r="E1142" s="1">
        <v>467.0</v>
      </c>
      <c r="F1142" s="1" t="s">
        <v>2954</v>
      </c>
      <c r="G1142" s="1" t="s">
        <v>2954</v>
      </c>
      <c r="H1142" s="1" t="s">
        <v>171</v>
      </c>
      <c r="I1142" s="1" t="s">
        <v>2275</v>
      </c>
      <c r="J1142" s="1" t="s">
        <v>2877</v>
      </c>
      <c r="K1142" s="1" t="s">
        <v>2277</v>
      </c>
      <c r="L1142" s="1"/>
      <c r="M1142" s="1" t="s">
        <v>171</v>
      </c>
      <c r="N1142" s="6">
        <f>IFERROR(__xludf.DUMMYFUNCTION("IF(REGEXMATCH(A1142, ""^00-""), 0, IF(AND(EQ(F1142, """"), EQ(G1142, """")), 1, 0))"),0.0)</f>
        <v>0</v>
      </c>
      <c r="O1142" s="6">
        <f>IFERROR(__xludf.DUMMYFUNCTION("IF(REGEXMATCH(A1142, ""^00-""), 0, IF(AND(NE(F1142, """"), EQ(G1142, """")), 1, 0))"),0.0)</f>
        <v>0</v>
      </c>
      <c r="P1142" s="6">
        <f>IFERROR(__xludf.DUMMYFUNCTION("IF(REGEXMATCH(A1142, ""^00-""), 0, IF(AND(EQ(F1142, """"), NE(G1142, """")), 1, 0))"),0.0)</f>
        <v>0</v>
      </c>
      <c r="Q1142" s="6">
        <f>IFERROR(__xludf.DUMMYFUNCTION("IF(REGEXMATCH(A1142, ""^00-""), 0, IF(AND(NE(F1142, """"), NE(G1142, """")), 1, 0))"),1.0)</f>
        <v>1</v>
      </c>
      <c r="R1142" s="6">
        <f t="shared" si="1"/>
        <v>1</v>
      </c>
    </row>
    <row r="1143">
      <c r="A1143" s="1" t="s">
        <v>141</v>
      </c>
      <c r="B1143" s="1" t="s">
        <v>2955</v>
      </c>
      <c r="C1143" s="1">
        <v>4.0</v>
      </c>
      <c r="D1143" s="1">
        <v>463.0</v>
      </c>
      <c r="E1143" s="1">
        <v>467.0</v>
      </c>
      <c r="F1143" s="1"/>
      <c r="G1143" s="1" t="s">
        <v>2956</v>
      </c>
      <c r="H1143" s="1" t="s">
        <v>269</v>
      </c>
      <c r="I1143" s="1" t="s">
        <v>2275</v>
      </c>
      <c r="J1143" s="1" t="s">
        <v>2877</v>
      </c>
      <c r="K1143" s="1" t="s">
        <v>2277</v>
      </c>
      <c r="L1143" s="1"/>
      <c r="M1143" s="1" t="s">
        <v>2844</v>
      </c>
      <c r="N1143" s="6">
        <f>IFERROR(__xludf.DUMMYFUNCTION("IF(REGEXMATCH(A1143, ""^00-""), 0, IF(AND(EQ(F1143, """"), EQ(G1143, """")), 1, 0))"),0.0)</f>
        <v>0</v>
      </c>
      <c r="O1143" s="6">
        <f>IFERROR(__xludf.DUMMYFUNCTION("IF(REGEXMATCH(A1143, ""^00-""), 0, IF(AND(NE(F1143, """"), EQ(G1143, """")), 1, 0))"),0.0)</f>
        <v>0</v>
      </c>
      <c r="P1143" s="6">
        <f>IFERROR(__xludf.DUMMYFUNCTION("IF(REGEXMATCH(A1143, ""^00-""), 0, IF(AND(EQ(F1143, """"), NE(G1143, """")), 1, 0))"),1.0)</f>
        <v>1</v>
      </c>
      <c r="Q1143" s="6">
        <f>IFERROR(__xludf.DUMMYFUNCTION("IF(REGEXMATCH(A1143, ""^00-""), 0, IF(AND(NE(F1143, """"), NE(G1143, """")), 1, 0))"),0.0)</f>
        <v>0</v>
      </c>
      <c r="R1143" s="6">
        <f t="shared" si="1"/>
        <v>1</v>
      </c>
    </row>
    <row r="1144">
      <c r="A1144" s="1" t="s">
        <v>141</v>
      </c>
      <c r="B1144" s="1" t="s">
        <v>2957</v>
      </c>
      <c r="C1144" s="1">
        <v>15.0</v>
      </c>
      <c r="D1144" s="1">
        <v>452.0</v>
      </c>
      <c r="E1144" s="1">
        <v>467.0</v>
      </c>
      <c r="F1144" s="1" t="s">
        <v>2958</v>
      </c>
      <c r="G1144" s="1" t="s">
        <v>2958</v>
      </c>
      <c r="H1144" s="1" t="s">
        <v>269</v>
      </c>
      <c r="I1144" s="1" t="s">
        <v>2275</v>
      </c>
      <c r="J1144" s="1" t="s">
        <v>2877</v>
      </c>
      <c r="K1144" s="1" t="s">
        <v>2277</v>
      </c>
      <c r="L1144" s="1"/>
      <c r="M1144" s="1" t="s">
        <v>2959</v>
      </c>
      <c r="N1144" s="6">
        <f>IFERROR(__xludf.DUMMYFUNCTION("IF(REGEXMATCH(A1144, ""^00-""), 0, IF(AND(EQ(F1144, """"), EQ(G1144, """")), 1, 0))"),0.0)</f>
        <v>0</v>
      </c>
      <c r="O1144" s="6">
        <f>IFERROR(__xludf.DUMMYFUNCTION("IF(REGEXMATCH(A1144, ""^00-""), 0, IF(AND(NE(F1144, """"), EQ(G1144, """")), 1, 0))"),0.0)</f>
        <v>0</v>
      </c>
      <c r="P1144" s="6">
        <f>IFERROR(__xludf.DUMMYFUNCTION("IF(REGEXMATCH(A1144, ""^00-""), 0, IF(AND(EQ(F1144, """"), NE(G1144, """")), 1, 0))"),0.0)</f>
        <v>0</v>
      </c>
      <c r="Q1144" s="6">
        <f>IFERROR(__xludf.DUMMYFUNCTION("IF(REGEXMATCH(A1144, ""^00-""), 0, IF(AND(NE(F1144, """"), NE(G1144, """")), 1, 0))"),1.0)</f>
        <v>1</v>
      </c>
      <c r="R1144" s="6">
        <f t="shared" si="1"/>
        <v>1</v>
      </c>
    </row>
    <row r="1145">
      <c r="A1145" s="1" t="s">
        <v>141</v>
      </c>
      <c r="B1145" s="1" t="s">
        <v>2960</v>
      </c>
      <c r="C1145" s="1">
        <v>15.0</v>
      </c>
      <c r="D1145" s="1">
        <v>452.0</v>
      </c>
      <c r="E1145" s="1">
        <v>467.0</v>
      </c>
      <c r="F1145" s="1" t="s">
        <v>2961</v>
      </c>
      <c r="G1145" s="1" t="s">
        <v>2961</v>
      </c>
      <c r="H1145" s="1" t="s">
        <v>269</v>
      </c>
      <c r="I1145" s="1" t="s">
        <v>2275</v>
      </c>
      <c r="J1145" s="1" t="s">
        <v>2877</v>
      </c>
      <c r="K1145" s="1" t="s">
        <v>2277</v>
      </c>
      <c r="L1145" s="1"/>
      <c r="M1145" s="1" t="s">
        <v>2959</v>
      </c>
      <c r="N1145" s="6">
        <f>IFERROR(__xludf.DUMMYFUNCTION("IF(REGEXMATCH(A1145, ""^00-""), 0, IF(AND(EQ(F1145, """"), EQ(G1145, """")), 1, 0))"),0.0)</f>
        <v>0</v>
      </c>
      <c r="O1145" s="6">
        <f>IFERROR(__xludf.DUMMYFUNCTION("IF(REGEXMATCH(A1145, ""^00-""), 0, IF(AND(NE(F1145, """"), EQ(G1145, """")), 1, 0))"),0.0)</f>
        <v>0</v>
      </c>
      <c r="P1145" s="6">
        <f>IFERROR(__xludf.DUMMYFUNCTION("IF(REGEXMATCH(A1145, ""^00-""), 0, IF(AND(EQ(F1145, """"), NE(G1145, """")), 1, 0))"),0.0)</f>
        <v>0</v>
      </c>
      <c r="Q1145" s="6">
        <f>IFERROR(__xludf.DUMMYFUNCTION("IF(REGEXMATCH(A1145, ""^00-""), 0, IF(AND(NE(F1145, """"), NE(G1145, """")), 1, 0))"),1.0)</f>
        <v>1</v>
      </c>
      <c r="R1145" s="6">
        <f t="shared" si="1"/>
        <v>1</v>
      </c>
    </row>
    <row r="1146">
      <c r="A1146" s="1" t="s">
        <v>141</v>
      </c>
      <c r="B1146" s="1" t="s">
        <v>2962</v>
      </c>
      <c r="C1146" s="1">
        <v>15.0</v>
      </c>
      <c r="D1146" s="1">
        <v>452.0</v>
      </c>
      <c r="E1146" s="1">
        <v>467.0</v>
      </c>
      <c r="F1146" s="1" t="s">
        <v>2963</v>
      </c>
      <c r="G1146" s="1" t="s">
        <v>2963</v>
      </c>
      <c r="H1146" s="1" t="s">
        <v>269</v>
      </c>
      <c r="I1146" s="1" t="s">
        <v>2275</v>
      </c>
      <c r="J1146" s="1" t="s">
        <v>2877</v>
      </c>
      <c r="K1146" s="1" t="s">
        <v>2277</v>
      </c>
      <c r="L1146" s="1"/>
      <c r="M1146" s="1" t="s">
        <v>2959</v>
      </c>
      <c r="N1146" s="6">
        <f>IFERROR(__xludf.DUMMYFUNCTION("IF(REGEXMATCH(A1146, ""^00-""), 0, IF(AND(EQ(F1146, """"), EQ(G1146, """")), 1, 0))"),0.0)</f>
        <v>0</v>
      </c>
      <c r="O1146" s="6">
        <f>IFERROR(__xludf.DUMMYFUNCTION("IF(REGEXMATCH(A1146, ""^00-""), 0, IF(AND(NE(F1146, """"), EQ(G1146, """")), 1, 0))"),0.0)</f>
        <v>0</v>
      </c>
      <c r="P1146" s="6">
        <f>IFERROR(__xludf.DUMMYFUNCTION("IF(REGEXMATCH(A1146, ""^00-""), 0, IF(AND(EQ(F1146, """"), NE(G1146, """")), 1, 0))"),0.0)</f>
        <v>0</v>
      </c>
      <c r="Q1146" s="6">
        <f>IFERROR(__xludf.DUMMYFUNCTION("IF(REGEXMATCH(A1146, ""^00-""), 0, IF(AND(NE(F1146, """"), NE(G1146, """")), 1, 0))"),1.0)</f>
        <v>1</v>
      </c>
      <c r="R1146" s="6">
        <f t="shared" si="1"/>
        <v>1</v>
      </c>
    </row>
    <row r="1147">
      <c r="A1147" s="1" t="s">
        <v>141</v>
      </c>
      <c r="B1147" s="1" t="s">
        <v>2964</v>
      </c>
      <c r="C1147" s="1">
        <v>15.0</v>
      </c>
      <c r="D1147" s="1">
        <v>452.0</v>
      </c>
      <c r="E1147" s="1">
        <v>467.0</v>
      </c>
      <c r="F1147" s="1" t="s">
        <v>2965</v>
      </c>
      <c r="G1147" s="1" t="s">
        <v>2965</v>
      </c>
      <c r="H1147" s="1" t="s">
        <v>269</v>
      </c>
      <c r="I1147" s="1" t="s">
        <v>2275</v>
      </c>
      <c r="J1147" s="1" t="s">
        <v>2877</v>
      </c>
      <c r="K1147" s="1" t="s">
        <v>2277</v>
      </c>
      <c r="L1147" s="1"/>
      <c r="M1147" s="1" t="s">
        <v>2959</v>
      </c>
      <c r="N1147" s="6">
        <f>IFERROR(__xludf.DUMMYFUNCTION("IF(REGEXMATCH(A1147, ""^00-""), 0, IF(AND(EQ(F1147, """"), EQ(G1147, """")), 1, 0))"),0.0)</f>
        <v>0</v>
      </c>
      <c r="O1147" s="6">
        <f>IFERROR(__xludf.DUMMYFUNCTION("IF(REGEXMATCH(A1147, ""^00-""), 0, IF(AND(NE(F1147, """"), EQ(G1147, """")), 1, 0))"),0.0)</f>
        <v>0</v>
      </c>
      <c r="P1147" s="6">
        <f>IFERROR(__xludf.DUMMYFUNCTION("IF(REGEXMATCH(A1147, ""^00-""), 0, IF(AND(EQ(F1147, """"), NE(G1147, """")), 1, 0))"),0.0)</f>
        <v>0</v>
      </c>
      <c r="Q1147" s="6">
        <f>IFERROR(__xludf.DUMMYFUNCTION("IF(REGEXMATCH(A1147, ""^00-""), 0, IF(AND(NE(F1147, """"), NE(G1147, """")), 1, 0))"),1.0)</f>
        <v>1</v>
      </c>
      <c r="R1147" s="6">
        <f t="shared" si="1"/>
        <v>1</v>
      </c>
    </row>
    <row r="1148">
      <c r="A1148" s="1" t="s">
        <v>141</v>
      </c>
      <c r="B1148" s="1" t="s">
        <v>2966</v>
      </c>
      <c r="C1148" s="1">
        <v>15.0</v>
      </c>
      <c r="D1148" s="1">
        <v>452.0</v>
      </c>
      <c r="E1148" s="1">
        <v>467.0</v>
      </c>
      <c r="F1148" s="1" t="s">
        <v>2967</v>
      </c>
      <c r="G1148" s="1" t="s">
        <v>2967</v>
      </c>
      <c r="H1148" s="1" t="s">
        <v>269</v>
      </c>
      <c r="I1148" s="1" t="s">
        <v>2275</v>
      </c>
      <c r="J1148" s="1" t="s">
        <v>2877</v>
      </c>
      <c r="K1148" s="1" t="s">
        <v>2277</v>
      </c>
      <c r="L1148" s="1"/>
      <c r="M1148" s="1" t="s">
        <v>2959</v>
      </c>
      <c r="N1148" s="6">
        <f>IFERROR(__xludf.DUMMYFUNCTION("IF(REGEXMATCH(A1148, ""^00-""), 0, IF(AND(EQ(F1148, """"), EQ(G1148, """")), 1, 0))"),0.0)</f>
        <v>0</v>
      </c>
      <c r="O1148" s="6">
        <f>IFERROR(__xludf.DUMMYFUNCTION("IF(REGEXMATCH(A1148, ""^00-""), 0, IF(AND(NE(F1148, """"), EQ(G1148, """")), 1, 0))"),0.0)</f>
        <v>0</v>
      </c>
      <c r="P1148" s="6">
        <f>IFERROR(__xludf.DUMMYFUNCTION("IF(REGEXMATCH(A1148, ""^00-""), 0, IF(AND(EQ(F1148, """"), NE(G1148, """")), 1, 0))"),0.0)</f>
        <v>0</v>
      </c>
      <c r="Q1148" s="6">
        <f>IFERROR(__xludf.DUMMYFUNCTION("IF(REGEXMATCH(A1148, ""^00-""), 0, IF(AND(NE(F1148, """"), NE(G1148, """")), 1, 0))"),1.0)</f>
        <v>1</v>
      </c>
      <c r="R1148" s="6">
        <f t="shared" si="1"/>
        <v>1</v>
      </c>
    </row>
    <row r="1149">
      <c r="A1149" s="1" t="s">
        <v>141</v>
      </c>
      <c r="B1149" s="1" t="s">
        <v>2968</v>
      </c>
      <c r="C1149" s="1">
        <v>15.0</v>
      </c>
      <c r="D1149" s="1">
        <v>452.0</v>
      </c>
      <c r="E1149" s="1">
        <v>467.0</v>
      </c>
      <c r="F1149" s="1" t="s">
        <v>2969</v>
      </c>
      <c r="G1149" s="1" t="s">
        <v>2969</v>
      </c>
      <c r="H1149" s="1" t="s">
        <v>269</v>
      </c>
      <c r="I1149" s="1" t="s">
        <v>2275</v>
      </c>
      <c r="J1149" s="1" t="s">
        <v>2877</v>
      </c>
      <c r="K1149" s="1" t="s">
        <v>2277</v>
      </c>
      <c r="L1149" s="1"/>
      <c r="M1149" s="1" t="s">
        <v>2959</v>
      </c>
      <c r="N1149" s="6">
        <f>IFERROR(__xludf.DUMMYFUNCTION("IF(REGEXMATCH(A1149, ""^00-""), 0, IF(AND(EQ(F1149, """"), EQ(G1149, """")), 1, 0))"),0.0)</f>
        <v>0</v>
      </c>
      <c r="O1149" s="6">
        <f>IFERROR(__xludf.DUMMYFUNCTION("IF(REGEXMATCH(A1149, ""^00-""), 0, IF(AND(NE(F1149, """"), EQ(G1149, """")), 1, 0))"),0.0)</f>
        <v>0</v>
      </c>
      <c r="P1149" s="6">
        <f>IFERROR(__xludf.DUMMYFUNCTION("IF(REGEXMATCH(A1149, ""^00-""), 0, IF(AND(EQ(F1149, """"), NE(G1149, """")), 1, 0))"),0.0)</f>
        <v>0</v>
      </c>
      <c r="Q1149" s="6">
        <f>IFERROR(__xludf.DUMMYFUNCTION("IF(REGEXMATCH(A1149, ""^00-""), 0, IF(AND(NE(F1149, """"), NE(G1149, """")), 1, 0))"),1.0)</f>
        <v>1</v>
      </c>
      <c r="R1149" s="6">
        <f t="shared" si="1"/>
        <v>1</v>
      </c>
    </row>
    <row r="1150">
      <c r="A1150" s="1" t="s">
        <v>141</v>
      </c>
      <c r="B1150" s="1" t="s">
        <v>2970</v>
      </c>
      <c r="C1150" s="1">
        <v>15.0</v>
      </c>
      <c r="D1150" s="1">
        <v>452.0</v>
      </c>
      <c r="E1150" s="1">
        <v>467.0</v>
      </c>
      <c r="F1150" s="1" t="s">
        <v>2971</v>
      </c>
      <c r="G1150" s="1" t="s">
        <v>2971</v>
      </c>
      <c r="H1150" s="1" t="s">
        <v>269</v>
      </c>
      <c r="I1150" s="1" t="s">
        <v>2275</v>
      </c>
      <c r="J1150" s="1" t="s">
        <v>2877</v>
      </c>
      <c r="K1150" s="1" t="s">
        <v>2277</v>
      </c>
      <c r="L1150" s="1"/>
      <c r="M1150" s="1" t="s">
        <v>2959</v>
      </c>
      <c r="N1150" s="6">
        <f>IFERROR(__xludf.DUMMYFUNCTION("IF(REGEXMATCH(A1150, ""^00-""), 0, IF(AND(EQ(F1150, """"), EQ(G1150, """")), 1, 0))"),0.0)</f>
        <v>0</v>
      </c>
      <c r="O1150" s="6">
        <f>IFERROR(__xludf.DUMMYFUNCTION("IF(REGEXMATCH(A1150, ""^00-""), 0, IF(AND(NE(F1150, """"), EQ(G1150, """")), 1, 0))"),0.0)</f>
        <v>0</v>
      </c>
      <c r="P1150" s="6">
        <f>IFERROR(__xludf.DUMMYFUNCTION("IF(REGEXMATCH(A1150, ""^00-""), 0, IF(AND(EQ(F1150, """"), NE(G1150, """")), 1, 0))"),0.0)</f>
        <v>0</v>
      </c>
      <c r="Q1150" s="6">
        <f>IFERROR(__xludf.DUMMYFUNCTION("IF(REGEXMATCH(A1150, ""^00-""), 0, IF(AND(NE(F1150, """"), NE(G1150, """")), 1, 0))"),1.0)</f>
        <v>1</v>
      </c>
      <c r="R1150" s="6">
        <f t="shared" si="1"/>
        <v>1</v>
      </c>
    </row>
    <row r="1151">
      <c r="A1151" s="1" t="s">
        <v>141</v>
      </c>
      <c r="B1151" s="1" t="s">
        <v>2972</v>
      </c>
      <c r="C1151" s="1">
        <v>15.0</v>
      </c>
      <c r="D1151" s="1">
        <v>452.0</v>
      </c>
      <c r="E1151" s="1">
        <v>467.0</v>
      </c>
      <c r="F1151" s="1" t="s">
        <v>2973</v>
      </c>
      <c r="G1151" s="1" t="s">
        <v>2973</v>
      </c>
      <c r="H1151" s="1" t="s">
        <v>269</v>
      </c>
      <c r="I1151" s="1" t="s">
        <v>2275</v>
      </c>
      <c r="J1151" s="1" t="s">
        <v>2877</v>
      </c>
      <c r="K1151" s="1" t="s">
        <v>2277</v>
      </c>
      <c r="L1151" s="1"/>
      <c r="M1151" s="1" t="s">
        <v>2959</v>
      </c>
      <c r="N1151" s="6">
        <f>IFERROR(__xludf.DUMMYFUNCTION("IF(REGEXMATCH(A1151, ""^00-""), 0, IF(AND(EQ(F1151, """"), EQ(G1151, """")), 1, 0))"),0.0)</f>
        <v>0</v>
      </c>
      <c r="O1151" s="6">
        <f>IFERROR(__xludf.DUMMYFUNCTION("IF(REGEXMATCH(A1151, ""^00-""), 0, IF(AND(NE(F1151, """"), EQ(G1151, """")), 1, 0))"),0.0)</f>
        <v>0</v>
      </c>
      <c r="P1151" s="6">
        <f>IFERROR(__xludf.DUMMYFUNCTION("IF(REGEXMATCH(A1151, ""^00-""), 0, IF(AND(EQ(F1151, """"), NE(G1151, """")), 1, 0))"),0.0)</f>
        <v>0</v>
      </c>
      <c r="Q1151" s="6">
        <f>IFERROR(__xludf.DUMMYFUNCTION("IF(REGEXMATCH(A1151, ""^00-""), 0, IF(AND(NE(F1151, """"), NE(G1151, """")), 1, 0))"),1.0)</f>
        <v>1</v>
      </c>
      <c r="R1151" s="6">
        <f t="shared" si="1"/>
        <v>1</v>
      </c>
    </row>
    <row r="1152">
      <c r="A1152" s="1" t="s">
        <v>141</v>
      </c>
      <c r="B1152" s="1" t="s">
        <v>2974</v>
      </c>
      <c r="C1152" s="1">
        <v>15.0</v>
      </c>
      <c r="D1152" s="1">
        <v>452.0</v>
      </c>
      <c r="E1152" s="1">
        <v>467.0</v>
      </c>
      <c r="F1152" s="1" t="s">
        <v>2975</v>
      </c>
      <c r="G1152" s="1" t="s">
        <v>2975</v>
      </c>
      <c r="H1152" s="1" t="s">
        <v>269</v>
      </c>
      <c r="I1152" s="1" t="s">
        <v>2275</v>
      </c>
      <c r="J1152" s="1" t="s">
        <v>2877</v>
      </c>
      <c r="K1152" s="1" t="s">
        <v>2277</v>
      </c>
      <c r="L1152" s="1"/>
      <c r="M1152" s="1" t="s">
        <v>2959</v>
      </c>
      <c r="N1152" s="6">
        <f>IFERROR(__xludf.DUMMYFUNCTION("IF(REGEXMATCH(A1152, ""^00-""), 0, IF(AND(EQ(F1152, """"), EQ(G1152, """")), 1, 0))"),0.0)</f>
        <v>0</v>
      </c>
      <c r="O1152" s="6">
        <f>IFERROR(__xludf.DUMMYFUNCTION("IF(REGEXMATCH(A1152, ""^00-""), 0, IF(AND(NE(F1152, """"), EQ(G1152, """")), 1, 0))"),0.0)</f>
        <v>0</v>
      </c>
      <c r="P1152" s="6">
        <f>IFERROR(__xludf.DUMMYFUNCTION("IF(REGEXMATCH(A1152, ""^00-""), 0, IF(AND(EQ(F1152, """"), NE(G1152, """")), 1, 0))"),0.0)</f>
        <v>0</v>
      </c>
      <c r="Q1152" s="6">
        <f>IFERROR(__xludf.DUMMYFUNCTION("IF(REGEXMATCH(A1152, ""^00-""), 0, IF(AND(NE(F1152, """"), NE(G1152, """")), 1, 0))"),1.0)</f>
        <v>1</v>
      </c>
      <c r="R1152" s="6">
        <f t="shared" si="1"/>
        <v>1</v>
      </c>
    </row>
    <row r="1153">
      <c r="A1153" s="1" t="s">
        <v>141</v>
      </c>
      <c r="B1153" s="1" t="s">
        <v>2976</v>
      </c>
      <c r="C1153" s="1">
        <v>15.0</v>
      </c>
      <c r="D1153" s="1">
        <v>452.0</v>
      </c>
      <c r="E1153" s="1">
        <v>467.0</v>
      </c>
      <c r="F1153" s="1" t="s">
        <v>2977</v>
      </c>
      <c r="G1153" s="1" t="s">
        <v>2977</v>
      </c>
      <c r="H1153" s="1" t="s">
        <v>269</v>
      </c>
      <c r="I1153" s="1" t="s">
        <v>2275</v>
      </c>
      <c r="J1153" s="1" t="s">
        <v>2877</v>
      </c>
      <c r="K1153" s="1" t="s">
        <v>2277</v>
      </c>
      <c r="L1153" s="1"/>
      <c r="M1153" s="1" t="s">
        <v>2959</v>
      </c>
      <c r="N1153" s="6">
        <f>IFERROR(__xludf.DUMMYFUNCTION("IF(REGEXMATCH(A1153, ""^00-""), 0, IF(AND(EQ(F1153, """"), EQ(G1153, """")), 1, 0))"),0.0)</f>
        <v>0</v>
      </c>
      <c r="O1153" s="6">
        <f>IFERROR(__xludf.DUMMYFUNCTION("IF(REGEXMATCH(A1153, ""^00-""), 0, IF(AND(NE(F1153, """"), EQ(G1153, """")), 1, 0))"),0.0)</f>
        <v>0</v>
      </c>
      <c r="P1153" s="6">
        <f>IFERROR(__xludf.DUMMYFUNCTION("IF(REGEXMATCH(A1153, ""^00-""), 0, IF(AND(EQ(F1153, """"), NE(G1153, """")), 1, 0))"),0.0)</f>
        <v>0</v>
      </c>
      <c r="Q1153" s="6">
        <f>IFERROR(__xludf.DUMMYFUNCTION("IF(REGEXMATCH(A1153, ""^00-""), 0, IF(AND(NE(F1153, """"), NE(G1153, """")), 1, 0))"),1.0)</f>
        <v>1</v>
      </c>
      <c r="R1153" s="6">
        <f t="shared" si="1"/>
        <v>1</v>
      </c>
    </row>
    <row r="1154">
      <c r="A1154" s="1" t="s">
        <v>141</v>
      </c>
      <c r="B1154" s="1" t="s">
        <v>2978</v>
      </c>
      <c r="C1154" s="1">
        <v>15.0</v>
      </c>
      <c r="D1154" s="1">
        <v>452.0</v>
      </c>
      <c r="E1154" s="1">
        <v>467.0</v>
      </c>
      <c r="F1154" s="1" t="s">
        <v>2979</v>
      </c>
      <c r="G1154" s="1" t="s">
        <v>2979</v>
      </c>
      <c r="H1154" s="1" t="s">
        <v>269</v>
      </c>
      <c r="I1154" s="1" t="s">
        <v>2275</v>
      </c>
      <c r="J1154" s="1" t="s">
        <v>2877</v>
      </c>
      <c r="K1154" s="1" t="s">
        <v>2277</v>
      </c>
      <c r="L1154" s="1"/>
      <c r="M1154" s="1" t="s">
        <v>2959</v>
      </c>
      <c r="N1154" s="6">
        <f>IFERROR(__xludf.DUMMYFUNCTION("IF(REGEXMATCH(A1154, ""^00-""), 0, IF(AND(EQ(F1154, """"), EQ(G1154, """")), 1, 0))"),0.0)</f>
        <v>0</v>
      </c>
      <c r="O1154" s="6">
        <f>IFERROR(__xludf.DUMMYFUNCTION("IF(REGEXMATCH(A1154, ""^00-""), 0, IF(AND(NE(F1154, """"), EQ(G1154, """")), 1, 0))"),0.0)</f>
        <v>0</v>
      </c>
      <c r="P1154" s="6">
        <f>IFERROR(__xludf.DUMMYFUNCTION("IF(REGEXMATCH(A1154, ""^00-""), 0, IF(AND(EQ(F1154, """"), NE(G1154, """")), 1, 0))"),0.0)</f>
        <v>0</v>
      </c>
      <c r="Q1154" s="6">
        <f>IFERROR(__xludf.DUMMYFUNCTION("IF(REGEXMATCH(A1154, ""^00-""), 0, IF(AND(NE(F1154, """"), NE(G1154, """")), 1, 0))"),1.0)</f>
        <v>1</v>
      </c>
      <c r="R1154" s="6">
        <f t="shared" si="1"/>
        <v>1</v>
      </c>
    </row>
    <row r="1155">
      <c r="A1155" s="1" t="s">
        <v>141</v>
      </c>
      <c r="B1155" s="1" t="s">
        <v>2980</v>
      </c>
      <c r="C1155" s="1">
        <v>2.0</v>
      </c>
      <c r="D1155" s="1">
        <v>465.0</v>
      </c>
      <c r="E1155" s="1">
        <v>467.0</v>
      </c>
      <c r="F1155" s="1" t="s">
        <v>2981</v>
      </c>
      <c r="G1155" s="1" t="s">
        <v>2981</v>
      </c>
      <c r="H1155" s="1" t="s">
        <v>171</v>
      </c>
      <c r="I1155" s="1" t="s">
        <v>2275</v>
      </c>
      <c r="J1155" s="1" t="s">
        <v>2877</v>
      </c>
      <c r="K1155" s="1" t="s">
        <v>2277</v>
      </c>
      <c r="L1155" s="1"/>
      <c r="M1155" s="1" t="s">
        <v>171</v>
      </c>
      <c r="N1155" s="6">
        <f>IFERROR(__xludf.DUMMYFUNCTION("IF(REGEXMATCH(A1155, ""^00-""), 0, IF(AND(EQ(F1155, """"), EQ(G1155, """")), 1, 0))"),0.0)</f>
        <v>0</v>
      </c>
      <c r="O1155" s="6">
        <f>IFERROR(__xludf.DUMMYFUNCTION("IF(REGEXMATCH(A1155, ""^00-""), 0, IF(AND(NE(F1155, """"), EQ(G1155, """")), 1, 0))"),0.0)</f>
        <v>0</v>
      </c>
      <c r="P1155" s="6">
        <f>IFERROR(__xludf.DUMMYFUNCTION("IF(REGEXMATCH(A1155, ""^00-""), 0, IF(AND(EQ(F1155, """"), NE(G1155, """")), 1, 0))"),0.0)</f>
        <v>0</v>
      </c>
      <c r="Q1155" s="6">
        <f>IFERROR(__xludf.DUMMYFUNCTION("IF(REGEXMATCH(A1155, ""^00-""), 0, IF(AND(NE(F1155, """"), NE(G1155, """")), 1, 0))"),1.0)</f>
        <v>1</v>
      </c>
      <c r="R1155" s="6">
        <f t="shared" si="1"/>
        <v>1</v>
      </c>
    </row>
    <row r="1156">
      <c r="A1156" s="1" t="s">
        <v>141</v>
      </c>
      <c r="B1156" s="1" t="s">
        <v>2982</v>
      </c>
      <c r="C1156" s="1">
        <v>15.0</v>
      </c>
      <c r="D1156" s="1">
        <v>452.0</v>
      </c>
      <c r="E1156" s="1">
        <v>467.0</v>
      </c>
      <c r="F1156" s="1" t="s">
        <v>2983</v>
      </c>
      <c r="G1156" s="1" t="s">
        <v>2983</v>
      </c>
      <c r="H1156" s="1" t="s">
        <v>269</v>
      </c>
      <c r="I1156" s="1" t="s">
        <v>2275</v>
      </c>
      <c r="J1156" s="1" t="s">
        <v>2877</v>
      </c>
      <c r="K1156" s="1" t="s">
        <v>2277</v>
      </c>
      <c r="L1156" s="1"/>
      <c r="M1156" s="1" t="s">
        <v>2959</v>
      </c>
      <c r="N1156" s="6">
        <f>IFERROR(__xludf.DUMMYFUNCTION("IF(REGEXMATCH(A1156, ""^00-""), 0, IF(AND(EQ(F1156, """"), EQ(G1156, """")), 1, 0))"),0.0)</f>
        <v>0</v>
      </c>
      <c r="O1156" s="6">
        <f>IFERROR(__xludf.DUMMYFUNCTION("IF(REGEXMATCH(A1156, ""^00-""), 0, IF(AND(NE(F1156, """"), EQ(G1156, """")), 1, 0))"),0.0)</f>
        <v>0</v>
      </c>
      <c r="P1156" s="6">
        <f>IFERROR(__xludf.DUMMYFUNCTION("IF(REGEXMATCH(A1156, ""^00-""), 0, IF(AND(EQ(F1156, """"), NE(G1156, """")), 1, 0))"),0.0)</f>
        <v>0</v>
      </c>
      <c r="Q1156" s="6">
        <f>IFERROR(__xludf.DUMMYFUNCTION("IF(REGEXMATCH(A1156, ""^00-""), 0, IF(AND(NE(F1156, """"), NE(G1156, """")), 1, 0))"),1.0)</f>
        <v>1</v>
      </c>
      <c r="R1156" s="6">
        <f t="shared" si="1"/>
        <v>1</v>
      </c>
    </row>
    <row r="1157">
      <c r="A1157" s="1" t="s">
        <v>141</v>
      </c>
      <c r="B1157" s="1" t="s">
        <v>2984</v>
      </c>
      <c r="C1157" s="1">
        <v>8.0</v>
      </c>
      <c r="D1157" s="1">
        <v>459.0</v>
      </c>
      <c r="E1157" s="1">
        <v>467.0</v>
      </c>
      <c r="F1157" s="1" t="s">
        <v>2985</v>
      </c>
      <c r="G1157" s="1" t="s">
        <v>2985</v>
      </c>
      <c r="H1157" s="1" t="s">
        <v>171</v>
      </c>
      <c r="I1157" s="1" t="s">
        <v>2275</v>
      </c>
      <c r="J1157" s="1" t="s">
        <v>2877</v>
      </c>
      <c r="K1157" s="1" t="s">
        <v>2277</v>
      </c>
      <c r="L1157" s="1"/>
      <c r="M1157" s="1" t="s">
        <v>171</v>
      </c>
      <c r="N1157" s="6">
        <f>IFERROR(__xludf.DUMMYFUNCTION("IF(REGEXMATCH(A1157, ""^00-""), 0, IF(AND(EQ(F1157, """"), EQ(G1157, """")), 1, 0))"),0.0)</f>
        <v>0</v>
      </c>
      <c r="O1157" s="6">
        <f>IFERROR(__xludf.DUMMYFUNCTION("IF(REGEXMATCH(A1157, ""^00-""), 0, IF(AND(NE(F1157, """"), EQ(G1157, """")), 1, 0))"),0.0)</f>
        <v>0</v>
      </c>
      <c r="P1157" s="6">
        <f>IFERROR(__xludf.DUMMYFUNCTION("IF(REGEXMATCH(A1157, ""^00-""), 0, IF(AND(EQ(F1157, """"), NE(G1157, """")), 1, 0))"),0.0)</f>
        <v>0</v>
      </c>
      <c r="Q1157" s="6">
        <f>IFERROR(__xludf.DUMMYFUNCTION("IF(REGEXMATCH(A1157, ""^00-""), 0, IF(AND(NE(F1157, """"), NE(G1157, """")), 1, 0))"),1.0)</f>
        <v>1</v>
      </c>
      <c r="R1157" s="6">
        <f t="shared" si="1"/>
        <v>1</v>
      </c>
    </row>
    <row r="1158">
      <c r="A1158" s="1" t="s">
        <v>141</v>
      </c>
      <c r="B1158" s="1" t="s">
        <v>2986</v>
      </c>
      <c r="C1158" s="1">
        <v>15.0</v>
      </c>
      <c r="D1158" s="1">
        <v>452.0</v>
      </c>
      <c r="E1158" s="1">
        <v>467.0</v>
      </c>
      <c r="F1158" s="1" t="s">
        <v>2987</v>
      </c>
      <c r="G1158" s="1" t="s">
        <v>2987</v>
      </c>
      <c r="H1158" s="1" t="s">
        <v>269</v>
      </c>
      <c r="I1158" s="1" t="s">
        <v>2275</v>
      </c>
      <c r="J1158" s="1" t="s">
        <v>2877</v>
      </c>
      <c r="K1158" s="1" t="s">
        <v>2277</v>
      </c>
      <c r="L1158" s="1"/>
      <c r="M1158" s="1" t="s">
        <v>2959</v>
      </c>
      <c r="N1158" s="6">
        <f>IFERROR(__xludf.DUMMYFUNCTION("IF(REGEXMATCH(A1158, ""^00-""), 0, IF(AND(EQ(F1158, """"), EQ(G1158, """")), 1, 0))"),0.0)</f>
        <v>0</v>
      </c>
      <c r="O1158" s="6">
        <f>IFERROR(__xludf.DUMMYFUNCTION("IF(REGEXMATCH(A1158, ""^00-""), 0, IF(AND(NE(F1158, """"), EQ(G1158, """")), 1, 0))"),0.0)</f>
        <v>0</v>
      </c>
      <c r="P1158" s="6">
        <f>IFERROR(__xludf.DUMMYFUNCTION("IF(REGEXMATCH(A1158, ""^00-""), 0, IF(AND(EQ(F1158, """"), NE(G1158, """")), 1, 0))"),0.0)</f>
        <v>0</v>
      </c>
      <c r="Q1158" s="6">
        <f>IFERROR(__xludf.DUMMYFUNCTION("IF(REGEXMATCH(A1158, ""^00-""), 0, IF(AND(NE(F1158, """"), NE(G1158, """")), 1, 0))"),1.0)</f>
        <v>1</v>
      </c>
      <c r="R1158" s="6">
        <f t="shared" si="1"/>
        <v>1</v>
      </c>
    </row>
    <row r="1159">
      <c r="A1159" s="1" t="s">
        <v>141</v>
      </c>
      <c r="B1159" s="1" t="s">
        <v>2988</v>
      </c>
      <c r="C1159" s="1">
        <v>4.0</v>
      </c>
      <c r="D1159" s="1">
        <v>463.0</v>
      </c>
      <c r="E1159" s="1">
        <v>467.0</v>
      </c>
      <c r="F1159" s="1" t="s">
        <v>2989</v>
      </c>
      <c r="G1159" s="1" t="s">
        <v>2989</v>
      </c>
      <c r="H1159" s="1" t="s">
        <v>171</v>
      </c>
      <c r="I1159" s="1" t="s">
        <v>2275</v>
      </c>
      <c r="J1159" s="1" t="s">
        <v>2877</v>
      </c>
      <c r="K1159" s="1" t="s">
        <v>2277</v>
      </c>
      <c r="L1159" s="1"/>
      <c r="M1159" s="1" t="s">
        <v>171</v>
      </c>
      <c r="N1159" s="6">
        <f>IFERROR(__xludf.DUMMYFUNCTION("IF(REGEXMATCH(A1159, ""^00-""), 0, IF(AND(EQ(F1159, """"), EQ(G1159, """")), 1, 0))"),0.0)</f>
        <v>0</v>
      </c>
      <c r="O1159" s="6">
        <f>IFERROR(__xludf.DUMMYFUNCTION("IF(REGEXMATCH(A1159, ""^00-""), 0, IF(AND(NE(F1159, """"), EQ(G1159, """")), 1, 0))"),0.0)</f>
        <v>0</v>
      </c>
      <c r="P1159" s="6">
        <f>IFERROR(__xludf.DUMMYFUNCTION("IF(REGEXMATCH(A1159, ""^00-""), 0, IF(AND(EQ(F1159, """"), NE(G1159, """")), 1, 0))"),0.0)</f>
        <v>0</v>
      </c>
      <c r="Q1159" s="6">
        <f>IFERROR(__xludf.DUMMYFUNCTION("IF(REGEXMATCH(A1159, ""^00-""), 0, IF(AND(NE(F1159, """"), NE(G1159, """")), 1, 0))"),1.0)</f>
        <v>1</v>
      </c>
      <c r="R1159" s="6">
        <f t="shared" si="1"/>
        <v>1</v>
      </c>
    </row>
    <row r="1160">
      <c r="A1160" s="1" t="s">
        <v>141</v>
      </c>
      <c r="B1160" s="1" t="s">
        <v>2990</v>
      </c>
      <c r="C1160" s="1">
        <v>6.0</v>
      </c>
      <c r="D1160" s="1">
        <v>461.0</v>
      </c>
      <c r="E1160" s="1">
        <v>467.0</v>
      </c>
      <c r="F1160" s="1"/>
      <c r="G1160" s="1" t="s">
        <v>2991</v>
      </c>
      <c r="H1160" s="1" t="s">
        <v>269</v>
      </c>
      <c r="I1160" s="1" t="s">
        <v>2275</v>
      </c>
      <c r="J1160" s="1" t="s">
        <v>2877</v>
      </c>
      <c r="K1160" s="1" t="s">
        <v>2277</v>
      </c>
      <c r="L1160" s="1"/>
      <c r="M1160" s="1" t="s">
        <v>2844</v>
      </c>
      <c r="N1160" s="6">
        <f>IFERROR(__xludf.DUMMYFUNCTION("IF(REGEXMATCH(A1160, ""^00-""), 0, IF(AND(EQ(F1160, """"), EQ(G1160, """")), 1, 0))"),0.0)</f>
        <v>0</v>
      </c>
      <c r="O1160" s="6">
        <f>IFERROR(__xludf.DUMMYFUNCTION("IF(REGEXMATCH(A1160, ""^00-""), 0, IF(AND(NE(F1160, """"), EQ(G1160, """")), 1, 0))"),0.0)</f>
        <v>0</v>
      </c>
      <c r="P1160" s="6">
        <f>IFERROR(__xludf.DUMMYFUNCTION("IF(REGEXMATCH(A1160, ""^00-""), 0, IF(AND(EQ(F1160, """"), NE(G1160, """")), 1, 0))"),1.0)</f>
        <v>1</v>
      </c>
      <c r="Q1160" s="6">
        <f>IFERROR(__xludf.DUMMYFUNCTION("IF(REGEXMATCH(A1160, ""^00-""), 0, IF(AND(NE(F1160, """"), NE(G1160, """")), 1, 0))"),0.0)</f>
        <v>0</v>
      </c>
      <c r="R1160" s="6">
        <f t="shared" si="1"/>
        <v>1</v>
      </c>
    </row>
    <row r="1161">
      <c r="A1161" s="1" t="s">
        <v>143</v>
      </c>
      <c r="B1161" s="1" t="s">
        <v>2992</v>
      </c>
      <c r="C1161" s="1">
        <v>435.0</v>
      </c>
      <c r="D1161" s="1">
        <v>97.0</v>
      </c>
      <c r="E1161" s="1">
        <v>532.0</v>
      </c>
      <c r="F1161" s="1" t="s">
        <v>2992</v>
      </c>
      <c r="G1161" s="1" t="s">
        <v>2992</v>
      </c>
      <c r="H1161" s="1" t="s">
        <v>190</v>
      </c>
      <c r="I1161" s="1" t="s">
        <v>2275</v>
      </c>
      <c r="J1161" s="1" t="s">
        <v>2993</v>
      </c>
      <c r="K1161" s="1" t="s">
        <v>2277</v>
      </c>
      <c r="L1161" s="1"/>
      <c r="M1161" s="1" t="s">
        <v>191</v>
      </c>
      <c r="N1161" s="6">
        <f>IFERROR(__xludf.DUMMYFUNCTION("IF(REGEXMATCH(A1161, ""^00-""), 0, IF(AND(EQ(F1161, """"), EQ(G1161, """")), 1, 0))"),0.0)</f>
        <v>0</v>
      </c>
      <c r="O1161" s="6">
        <f>IFERROR(__xludf.DUMMYFUNCTION("IF(REGEXMATCH(A1161, ""^00-""), 0, IF(AND(NE(F1161, """"), EQ(G1161, """")), 1, 0))"),0.0)</f>
        <v>0</v>
      </c>
      <c r="P1161" s="6">
        <f>IFERROR(__xludf.DUMMYFUNCTION("IF(REGEXMATCH(A1161, ""^00-""), 0, IF(AND(EQ(F1161, """"), NE(G1161, """")), 1, 0))"),0.0)</f>
        <v>0</v>
      </c>
      <c r="Q1161" s="6">
        <f>IFERROR(__xludf.DUMMYFUNCTION("IF(REGEXMATCH(A1161, ""^00-""), 0, IF(AND(NE(F1161, """"), NE(G1161, """")), 1, 0))"),1.0)</f>
        <v>1</v>
      </c>
      <c r="R1161" s="6">
        <f t="shared" si="1"/>
        <v>1</v>
      </c>
    </row>
    <row r="1162">
      <c r="A1162" s="1" t="s">
        <v>143</v>
      </c>
      <c r="B1162" s="1" t="s">
        <v>2994</v>
      </c>
      <c r="C1162" s="1">
        <v>435.0</v>
      </c>
      <c r="D1162" s="1">
        <v>97.0</v>
      </c>
      <c r="E1162" s="1">
        <v>532.0</v>
      </c>
      <c r="F1162" s="1" t="s">
        <v>2995</v>
      </c>
      <c r="G1162" s="1" t="s">
        <v>2995</v>
      </c>
      <c r="H1162" s="1" t="s">
        <v>190</v>
      </c>
      <c r="I1162" s="1" t="s">
        <v>2275</v>
      </c>
      <c r="J1162" s="1" t="s">
        <v>2993</v>
      </c>
      <c r="K1162" s="1" t="s">
        <v>2277</v>
      </c>
      <c r="L1162" s="1"/>
      <c r="M1162" s="1" t="s">
        <v>191</v>
      </c>
      <c r="N1162" s="6">
        <f>IFERROR(__xludf.DUMMYFUNCTION("IF(REGEXMATCH(A1162, ""^00-""), 0, IF(AND(EQ(F1162, """"), EQ(G1162, """")), 1, 0))"),0.0)</f>
        <v>0</v>
      </c>
      <c r="O1162" s="6">
        <f>IFERROR(__xludf.DUMMYFUNCTION("IF(REGEXMATCH(A1162, ""^00-""), 0, IF(AND(NE(F1162, """"), EQ(G1162, """")), 1, 0))"),0.0)</f>
        <v>0</v>
      </c>
      <c r="P1162" s="6">
        <f>IFERROR(__xludf.DUMMYFUNCTION("IF(REGEXMATCH(A1162, ""^00-""), 0, IF(AND(EQ(F1162, """"), NE(G1162, """")), 1, 0))"),0.0)</f>
        <v>0</v>
      </c>
      <c r="Q1162" s="6">
        <f>IFERROR(__xludf.DUMMYFUNCTION("IF(REGEXMATCH(A1162, ""^00-""), 0, IF(AND(NE(F1162, """"), NE(G1162, """")), 1, 0))"),1.0)</f>
        <v>1</v>
      </c>
      <c r="R1162" s="6">
        <f t="shared" si="1"/>
        <v>1</v>
      </c>
    </row>
    <row r="1163">
      <c r="A1163" s="1" t="s">
        <v>143</v>
      </c>
      <c r="B1163" s="1" t="s">
        <v>2996</v>
      </c>
      <c r="C1163" s="1">
        <v>435.0</v>
      </c>
      <c r="D1163" s="1">
        <v>97.0</v>
      </c>
      <c r="E1163" s="1">
        <v>532.0</v>
      </c>
      <c r="F1163" s="1" t="s">
        <v>2997</v>
      </c>
      <c r="G1163" s="1" t="s">
        <v>2997</v>
      </c>
      <c r="H1163" s="1" t="s">
        <v>190</v>
      </c>
      <c r="I1163" s="1" t="s">
        <v>2275</v>
      </c>
      <c r="J1163" s="1" t="s">
        <v>2993</v>
      </c>
      <c r="K1163" s="1" t="s">
        <v>2277</v>
      </c>
      <c r="L1163" s="1"/>
      <c r="M1163" s="1" t="s">
        <v>191</v>
      </c>
      <c r="N1163" s="6">
        <f>IFERROR(__xludf.DUMMYFUNCTION("IF(REGEXMATCH(A1163, ""^00-""), 0, IF(AND(EQ(F1163, """"), EQ(G1163, """")), 1, 0))"),0.0)</f>
        <v>0</v>
      </c>
      <c r="O1163" s="6">
        <f>IFERROR(__xludf.DUMMYFUNCTION("IF(REGEXMATCH(A1163, ""^00-""), 0, IF(AND(NE(F1163, """"), EQ(G1163, """")), 1, 0))"),0.0)</f>
        <v>0</v>
      </c>
      <c r="P1163" s="6">
        <f>IFERROR(__xludf.DUMMYFUNCTION("IF(REGEXMATCH(A1163, ""^00-""), 0, IF(AND(EQ(F1163, """"), NE(G1163, """")), 1, 0))"),0.0)</f>
        <v>0</v>
      </c>
      <c r="Q1163" s="6">
        <f>IFERROR(__xludf.DUMMYFUNCTION("IF(REGEXMATCH(A1163, ""^00-""), 0, IF(AND(NE(F1163, """"), NE(G1163, """")), 1, 0))"),1.0)</f>
        <v>1</v>
      </c>
      <c r="R1163" s="6">
        <f t="shared" si="1"/>
        <v>1</v>
      </c>
    </row>
    <row r="1164">
      <c r="A1164" s="1" t="s">
        <v>143</v>
      </c>
      <c r="B1164" s="1" t="s">
        <v>2998</v>
      </c>
      <c r="C1164" s="1">
        <v>287.0</v>
      </c>
      <c r="D1164" s="1">
        <v>245.0</v>
      </c>
      <c r="E1164" s="1">
        <v>532.0</v>
      </c>
      <c r="F1164" s="1"/>
      <c r="G1164" s="1" t="s">
        <v>2999</v>
      </c>
      <c r="H1164" s="1" t="s">
        <v>190</v>
      </c>
      <c r="I1164" s="1" t="s">
        <v>2275</v>
      </c>
      <c r="J1164" s="1" t="s">
        <v>2993</v>
      </c>
      <c r="K1164" s="1" t="s">
        <v>2277</v>
      </c>
      <c r="L1164" s="1"/>
      <c r="M1164" s="1" t="s">
        <v>191</v>
      </c>
      <c r="N1164" s="6">
        <f>IFERROR(__xludf.DUMMYFUNCTION("IF(REGEXMATCH(A1164, ""^00-""), 0, IF(AND(EQ(F1164, """"), EQ(G1164, """")), 1, 0))"),0.0)</f>
        <v>0</v>
      </c>
      <c r="O1164" s="6">
        <f>IFERROR(__xludf.DUMMYFUNCTION("IF(REGEXMATCH(A1164, ""^00-""), 0, IF(AND(NE(F1164, """"), EQ(G1164, """")), 1, 0))"),0.0)</f>
        <v>0</v>
      </c>
      <c r="P1164" s="6">
        <f>IFERROR(__xludf.DUMMYFUNCTION("IF(REGEXMATCH(A1164, ""^00-""), 0, IF(AND(EQ(F1164, """"), NE(G1164, """")), 1, 0))"),1.0)</f>
        <v>1</v>
      </c>
      <c r="Q1164" s="6">
        <f>IFERROR(__xludf.DUMMYFUNCTION("IF(REGEXMATCH(A1164, ""^00-""), 0, IF(AND(NE(F1164, """"), NE(G1164, """")), 1, 0))"),0.0)</f>
        <v>0</v>
      </c>
      <c r="R1164" s="6">
        <f t="shared" si="1"/>
        <v>1</v>
      </c>
    </row>
    <row r="1165">
      <c r="A1165" s="1" t="s">
        <v>143</v>
      </c>
      <c r="B1165" s="1" t="s">
        <v>3000</v>
      </c>
      <c r="C1165" s="1">
        <v>426.0</v>
      </c>
      <c r="D1165" s="1">
        <v>106.0</v>
      </c>
      <c r="E1165" s="1">
        <v>532.0</v>
      </c>
      <c r="F1165" s="1" t="s">
        <v>3001</v>
      </c>
      <c r="G1165" s="1" t="s">
        <v>3001</v>
      </c>
      <c r="H1165" s="1" t="s">
        <v>269</v>
      </c>
      <c r="I1165" s="1" t="s">
        <v>2275</v>
      </c>
      <c r="J1165" s="1" t="s">
        <v>2993</v>
      </c>
      <c r="K1165" s="1" t="s">
        <v>2277</v>
      </c>
      <c r="L1165" s="1"/>
      <c r="M1165" s="1" t="s">
        <v>3002</v>
      </c>
      <c r="N1165" s="6">
        <f>IFERROR(__xludf.DUMMYFUNCTION("IF(REGEXMATCH(A1165, ""^00-""), 0, IF(AND(EQ(F1165, """"), EQ(G1165, """")), 1, 0))"),0.0)</f>
        <v>0</v>
      </c>
      <c r="O1165" s="6">
        <f>IFERROR(__xludf.DUMMYFUNCTION("IF(REGEXMATCH(A1165, ""^00-""), 0, IF(AND(NE(F1165, """"), EQ(G1165, """")), 1, 0))"),0.0)</f>
        <v>0</v>
      </c>
      <c r="P1165" s="6">
        <f>IFERROR(__xludf.DUMMYFUNCTION("IF(REGEXMATCH(A1165, ""^00-""), 0, IF(AND(EQ(F1165, """"), NE(G1165, """")), 1, 0))"),0.0)</f>
        <v>0</v>
      </c>
      <c r="Q1165" s="6">
        <f>IFERROR(__xludf.DUMMYFUNCTION("IF(REGEXMATCH(A1165, ""^00-""), 0, IF(AND(NE(F1165, """"), NE(G1165, """")), 1, 0))"),1.0)</f>
        <v>1</v>
      </c>
      <c r="R1165" s="6">
        <f t="shared" si="1"/>
        <v>1</v>
      </c>
    </row>
    <row r="1166">
      <c r="A1166" s="1" t="s">
        <v>143</v>
      </c>
      <c r="B1166" s="1" t="s">
        <v>3003</v>
      </c>
      <c r="C1166" s="1">
        <v>435.0</v>
      </c>
      <c r="D1166" s="1">
        <v>97.0</v>
      </c>
      <c r="E1166" s="1">
        <v>532.0</v>
      </c>
      <c r="F1166" s="1" t="s">
        <v>3004</v>
      </c>
      <c r="G1166" s="1" t="s">
        <v>3004</v>
      </c>
      <c r="H1166" s="1" t="s">
        <v>190</v>
      </c>
      <c r="I1166" s="1" t="s">
        <v>2275</v>
      </c>
      <c r="J1166" s="1" t="s">
        <v>2993</v>
      </c>
      <c r="K1166" s="1" t="s">
        <v>2277</v>
      </c>
      <c r="L1166" s="1"/>
      <c r="M1166" s="1" t="s">
        <v>191</v>
      </c>
      <c r="N1166" s="6">
        <f>IFERROR(__xludf.DUMMYFUNCTION("IF(REGEXMATCH(A1166, ""^00-""), 0, IF(AND(EQ(F1166, """"), EQ(G1166, """")), 1, 0))"),0.0)</f>
        <v>0</v>
      </c>
      <c r="O1166" s="6">
        <f>IFERROR(__xludf.DUMMYFUNCTION("IF(REGEXMATCH(A1166, ""^00-""), 0, IF(AND(NE(F1166, """"), EQ(G1166, """")), 1, 0))"),0.0)</f>
        <v>0</v>
      </c>
      <c r="P1166" s="6">
        <f>IFERROR(__xludf.DUMMYFUNCTION("IF(REGEXMATCH(A1166, ""^00-""), 0, IF(AND(EQ(F1166, """"), NE(G1166, """")), 1, 0))"),0.0)</f>
        <v>0</v>
      </c>
      <c r="Q1166" s="6">
        <f>IFERROR(__xludf.DUMMYFUNCTION("IF(REGEXMATCH(A1166, ""^00-""), 0, IF(AND(NE(F1166, """"), NE(G1166, """")), 1, 0))"),1.0)</f>
        <v>1</v>
      </c>
      <c r="R1166" s="6">
        <f t="shared" si="1"/>
        <v>1</v>
      </c>
    </row>
    <row r="1167">
      <c r="A1167" s="1" t="s">
        <v>143</v>
      </c>
      <c r="B1167" s="1" t="s">
        <v>3005</v>
      </c>
      <c r="C1167" s="1">
        <v>426.0</v>
      </c>
      <c r="D1167" s="1">
        <v>106.0</v>
      </c>
      <c r="E1167" s="1">
        <v>532.0</v>
      </c>
      <c r="F1167" s="1" t="s">
        <v>2594</v>
      </c>
      <c r="G1167" s="1" t="s">
        <v>2594</v>
      </c>
      <c r="H1167" s="1" t="s">
        <v>269</v>
      </c>
      <c r="I1167" s="1" t="s">
        <v>2275</v>
      </c>
      <c r="J1167" s="1" t="s">
        <v>2993</v>
      </c>
      <c r="K1167" s="1" t="s">
        <v>2277</v>
      </c>
      <c r="L1167" s="1"/>
      <c r="M1167" s="1" t="s">
        <v>3002</v>
      </c>
      <c r="N1167" s="6">
        <f>IFERROR(__xludf.DUMMYFUNCTION("IF(REGEXMATCH(A1167, ""^00-""), 0, IF(AND(EQ(F1167, """"), EQ(G1167, """")), 1, 0))"),0.0)</f>
        <v>0</v>
      </c>
      <c r="O1167" s="6">
        <f>IFERROR(__xludf.DUMMYFUNCTION("IF(REGEXMATCH(A1167, ""^00-""), 0, IF(AND(NE(F1167, """"), EQ(G1167, """")), 1, 0))"),0.0)</f>
        <v>0</v>
      </c>
      <c r="P1167" s="6">
        <f>IFERROR(__xludf.DUMMYFUNCTION("IF(REGEXMATCH(A1167, ""^00-""), 0, IF(AND(EQ(F1167, """"), NE(G1167, """")), 1, 0))"),0.0)</f>
        <v>0</v>
      </c>
      <c r="Q1167" s="6">
        <f>IFERROR(__xludf.DUMMYFUNCTION("IF(REGEXMATCH(A1167, ""^00-""), 0, IF(AND(NE(F1167, """"), NE(G1167, """")), 1, 0))"),1.0)</f>
        <v>1</v>
      </c>
      <c r="R1167" s="6">
        <f t="shared" si="1"/>
        <v>1</v>
      </c>
    </row>
    <row r="1168">
      <c r="A1168" s="1" t="s">
        <v>143</v>
      </c>
      <c r="B1168" s="1" t="s">
        <v>3006</v>
      </c>
      <c r="C1168" s="1">
        <v>294.0</v>
      </c>
      <c r="D1168" s="1">
        <v>238.0</v>
      </c>
      <c r="E1168" s="1">
        <v>532.0</v>
      </c>
      <c r="F1168" s="1"/>
      <c r="G1168" s="1" t="s">
        <v>3007</v>
      </c>
      <c r="H1168" s="1" t="s">
        <v>190</v>
      </c>
      <c r="I1168" s="1" t="s">
        <v>2275</v>
      </c>
      <c r="J1168" s="1" t="s">
        <v>2993</v>
      </c>
      <c r="K1168" s="1" t="s">
        <v>2277</v>
      </c>
      <c r="L1168" s="1"/>
      <c r="M1168" s="1" t="s">
        <v>191</v>
      </c>
      <c r="N1168" s="6">
        <f>IFERROR(__xludf.DUMMYFUNCTION("IF(REGEXMATCH(A1168, ""^00-""), 0, IF(AND(EQ(F1168, """"), EQ(G1168, """")), 1, 0))"),0.0)</f>
        <v>0</v>
      </c>
      <c r="O1168" s="6">
        <f>IFERROR(__xludf.DUMMYFUNCTION("IF(REGEXMATCH(A1168, ""^00-""), 0, IF(AND(NE(F1168, """"), EQ(G1168, """")), 1, 0))"),0.0)</f>
        <v>0</v>
      </c>
      <c r="P1168" s="6">
        <f>IFERROR(__xludf.DUMMYFUNCTION("IF(REGEXMATCH(A1168, ""^00-""), 0, IF(AND(EQ(F1168, """"), NE(G1168, """")), 1, 0))"),1.0)</f>
        <v>1</v>
      </c>
      <c r="Q1168" s="6">
        <f>IFERROR(__xludf.DUMMYFUNCTION("IF(REGEXMATCH(A1168, ""^00-""), 0, IF(AND(NE(F1168, """"), NE(G1168, """")), 1, 0))"),0.0)</f>
        <v>0</v>
      </c>
      <c r="R1168" s="6">
        <f t="shared" si="1"/>
        <v>1</v>
      </c>
    </row>
    <row r="1169">
      <c r="A1169" s="1" t="s">
        <v>143</v>
      </c>
      <c r="B1169" s="1" t="s">
        <v>3008</v>
      </c>
      <c r="C1169" s="1">
        <v>436.0</v>
      </c>
      <c r="D1169" s="1">
        <v>96.0</v>
      </c>
      <c r="E1169" s="1">
        <v>532.0</v>
      </c>
      <c r="F1169" s="1" t="s">
        <v>3009</v>
      </c>
      <c r="G1169" s="1" t="s">
        <v>3009</v>
      </c>
      <c r="H1169" s="1" t="s">
        <v>190</v>
      </c>
      <c r="I1169" s="1" t="s">
        <v>2275</v>
      </c>
      <c r="J1169" s="1" t="s">
        <v>2993</v>
      </c>
      <c r="K1169" s="1" t="s">
        <v>2277</v>
      </c>
      <c r="L1169" s="1"/>
      <c r="M1169" s="1" t="s">
        <v>191</v>
      </c>
      <c r="N1169" s="6">
        <f>IFERROR(__xludf.DUMMYFUNCTION("IF(REGEXMATCH(A1169, ""^00-""), 0, IF(AND(EQ(F1169, """"), EQ(G1169, """")), 1, 0))"),0.0)</f>
        <v>0</v>
      </c>
      <c r="O1169" s="6">
        <f>IFERROR(__xludf.DUMMYFUNCTION("IF(REGEXMATCH(A1169, ""^00-""), 0, IF(AND(NE(F1169, """"), EQ(G1169, """")), 1, 0))"),0.0)</f>
        <v>0</v>
      </c>
      <c r="P1169" s="6">
        <f>IFERROR(__xludf.DUMMYFUNCTION("IF(REGEXMATCH(A1169, ""^00-""), 0, IF(AND(EQ(F1169, """"), NE(G1169, """")), 1, 0))"),0.0)</f>
        <v>0</v>
      </c>
      <c r="Q1169" s="6">
        <f>IFERROR(__xludf.DUMMYFUNCTION("IF(REGEXMATCH(A1169, ""^00-""), 0, IF(AND(NE(F1169, """"), NE(G1169, """")), 1, 0))"),1.0)</f>
        <v>1</v>
      </c>
      <c r="R1169" s="6">
        <f t="shared" si="1"/>
        <v>1</v>
      </c>
    </row>
    <row r="1170">
      <c r="A1170" s="1" t="s">
        <v>145</v>
      </c>
      <c r="B1170" s="1" t="s">
        <v>3010</v>
      </c>
      <c r="C1170" s="1">
        <v>9.0</v>
      </c>
      <c r="D1170" s="1">
        <v>523.0</v>
      </c>
      <c r="E1170" s="1">
        <v>532.0</v>
      </c>
      <c r="F1170" s="1"/>
      <c r="G1170" s="1" t="s">
        <v>3011</v>
      </c>
      <c r="H1170" s="1" t="s">
        <v>269</v>
      </c>
      <c r="I1170" s="1" t="s">
        <v>2275</v>
      </c>
      <c r="J1170" s="1" t="s">
        <v>3012</v>
      </c>
      <c r="K1170" s="1" t="s">
        <v>2277</v>
      </c>
      <c r="L1170" s="1"/>
      <c r="M1170" s="1" t="s">
        <v>3010</v>
      </c>
      <c r="N1170" s="6">
        <f>IFERROR(__xludf.DUMMYFUNCTION("IF(REGEXMATCH(A1170, ""^00-""), 0, IF(AND(EQ(F1170, """"), EQ(G1170, """")), 1, 0))"),0.0)</f>
        <v>0</v>
      </c>
      <c r="O1170" s="6">
        <f>IFERROR(__xludf.DUMMYFUNCTION("IF(REGEXMATCH(A1170, ""^00-""), 0, IF(AND(NE(F1170, """"), EQ(G1170, """")), 1, 0))"),0.0)</f>
        <v>0</v>
      </c>
      <c r="P1170" s="6">
        <f>IFERROR(__xludf.DUMMYFUNCTION("IF(REGEXMATCH(A1170, ""^00-""), 0, IF(AND(EQ(F1170, """"), NE(G1170, """")), 1, 0))"),1.0)</f>
        <v>1</v>
      </c>
      <c r="Q1170" s="6">
        <f>IFERROR(__xludf.DUMMYFUNCTION("IF(REGEXMATCH(A1170, ""^00-""), 0, IF(AND(NE(F1170, """"), NE(G1170, """")), 1, 0))"),0.0)</f>
        <v>0</v>
      </c>
      <c r="R1170" s="6">
        <f t="shared" si="1"/>
        <v>1</v>
      </c>
    </row>
    <row r="1171">
      <c r="A1171" s="1" t="s">
        <v>145</v>
      </c>
      <c r="B1171" s="1" t="s">
        <v>3013</v>
      </c>
      <c r="C1171" s="1">
        <v>424.0</v>
      </c>
      <c r="D1171" s="1">
        <v>108.0</v>
      </c>
      <c r="E1171" s="1">
        <v>532.0</v>
      </c>
      <c r="F1171" s="1" t="s">
        <v>3014</v>
      </c>
      <c r="G1171" s="1" t="s">
        <v>3014</v>
      </c>
      <c r="H1171" s="1" t="s">
        <v>190</v>
      </c>
      <c r="I1171" s="1" t="s">
        <v>2275</v>
      </c>
      <c r="J1171" s="1" t="s">
        <v>3012</v>
      </c>
      <c r="K1171" s="1" t="s">
        <v>2277</v>
      </c>
      <c r="L1171" s="1"/>
      <c r="M1171" s="1" t="s">
        <v>191</v>
      </c>
      <c r="N1171" s="6">
        <f>IFERROR(__xludf.DUMMYFUNCTION("IF(REGEXMATCH(A1171, ""^00-""), 0, IF(AND(EQ(F1171, """"), EQ(G1171, """")), 1, 0))"),0.0)</f>
        <v>0</v>
      </c>
      <c r="O1171" s="6">
        <f>IFERROR(__xludf.DUMMYFUNCTION("IF(REGEXMATCH(A1171, ""^00-""), 0, IF(AND(NE(F1171, """"), EQ(G1171, """")), 1, 0))"),0.0)</f>
        <v>0</v>
      </c>
      <c r="P1171" s="6">
        <f>IFERROR(__xludf.DUMMYFUNCTION("IF(REGEXMATCH(A1171, ""^00-""), 0, IF(AND(EQ(F1171, """"), NE(G1171, """")), 1, 0))"),0.0)</f>
        <v>0</v>
      </c>
      <c r="Q1171" s="6">
        <f>IFERROR(__xludf.DUMMYFUNCTION("IF(REGEXMATCH(A1171, ""^00-""), 0, IF(AND(NE(F1171, """"), NE(G1171, """")), 1, 0))"),1.0)</f>
        <v>1</v>
      </c>
      <c r="R1171" s="6">
        <f t="shared" si="1"/>
        <v>1</v>
      </c>
    </row>
    <row r="1172">
      <c r="A1172" s="1" t="s">
        <v>145</v>
      </c>
      <c r="B1172" s="1" t="s">
        <v>3015</v>
      </c>
      <c r="C1172" s="1">
        <v>275.0</v>
      </c>
      <c r="D1172" s="1">
        <v>257.0</v>
      </c>
      <c r="E1172" s="1">
        <v>532.0</v>
      </c>
      <c r="F1172" s="1"/>
      <c r="G1172" s="1" t="s">
        <v>3016</v>
      </c>
      <c r="H1172" s="1" t="s">
        <v>269</v>
      </c>
      <c r="I1172" s="1" t="s">
        <v>2275</v>
      </c>
      <c r="J1172" s="1" t="s">
        <v>3012</v>
      </c>
      <c r="K1172" s="1" t="s">
        <v>2277</v>
      </c>
      <c r="L1172" s="1"/>
      <c r="M1172" s="1" t="s">
        <v>3002</v>
      </c>
      <c r="N1172" s="6">
        <f>IFERROR(__xludf.DUMMYFUNCTION("IF(REGEXMATCH(A1172, ""^00-""), 0, IF(AND(EQ(F1172, """"), EQ(G1172, """")), 1, 0))"),0.0)</f>
        <v>0</v>
      </c>
      <c r="O1172" s="6">
        <f>IFERROR(__xludf.DUMMYFUNCTION("IF(REGEXMATCH(A1172, ""^00-""), 0, IF(AND(NE(F1172, """"), EQ(G1172, """")), 1, 0))"),0.0)</f>
        <v>0</v>
      </c>
      <c r="P1172" s="6">
        <f>IFERROR(__xludf.DUMMYFUNCTION("IF(REGEXMATCH(A1172, ""^00-""), 0, IF(AND(EQ(F1172, """"), NE(G1172, """")), 1, 0))"),1.0)</f>
        <v>1</v>
      </c>
      <c r="Q1172" s="6">
        <f>IFERROR(__xludf.DUMMYFUNCTION("IF(REGEXMATCH(A1172, ""^00-""), 0, IF(AND(NE(F1172, """"), NE(G1172, """")), 1, 0))"),0.0)</f>
        <v>0</v>
      </c>
      <c r="R1172" s="6">
        <f t="shared" si="1"/>
        <v>1</v>
      </c>
    </row>
    <row r="1173">
      <c r="A1173" s="1" t="s">
        <v>145</v>
      </c>
      <c r="B1173" s="1" t="s">
        <v>3017</v>
      </c>
      <c r="C1173" s="1">
        <v>277.0</v>
      </c>
      <c r="D1173" s="1">
        <v>255.0</v>
      </c>
      <c r="E1173" s="1">
        <v>532.0</v>
      </c>
      <c r="F1173" s="1"/>
      <c r="G1173" s="1" t="s">
        <v>3018</v>
      </c>
      <c r="H1173" s="1" t="s">
        <v>269</v>
      </c>
      <c r="I1173" s="1" t="s">
        <v>2275</v>
      </c>
      <c r="J1173" s="1" t="s">
        <v>3012</v>
      </c>
      <c r="K1173" s="1" t="s">
        <v>2277</v>
      </c>
      <c r="L1173" s="1"/>
      <c r="M1173" s="1" t="s">
        <v>3002</v>
      </c>
      <c r="N1173" s="6">
        <f>IFERROR(__xludf.DUMMYFUNCTION("IF(REGEXMATCH(A1173, ""^00-""), 0, IF(AND(EQ(F1173, """"), EQ(G1173, """")), 1, 0))"),0.0)</f>
        <v>0</v>
      </c>
      <c r="O1173" s="6">
        <f>IFERROR(__xludf.DUMMYFUNCTION("IF(REGEXMATCH(A1173, ""^00-""), 0, IF(AND(NE(F1173, """"), EQ(G1173, """")), 1, 0))"),0.0)</f>
        <v>0</v>
      </c>
      <c r="P1173" s="6">
        <f>IFERROR(__xludf.DUMMYFUNCTION("IF(REGEXMATCH(A1173, ""^00-""), 0, IF(AND(EQ(F1173, """"), NE(G1173, """")), 1, 0))"),1.0)</f>
        <v>1</v>
      </c>
      <c r="Q1173" s="6">
        <f>IFERROR(__xludf.DUMMYFUNCTION("IF(REGEXMATCH(A1173, ""^00-""), 0, IF(AND(NE(F1173, """"), NE(G1173, """")), 1, 0))"),0.0)</f>
        <v>0</v>
      </c>
      <c r="R1173" s="6">
        <f t="shared" si="1"/>
        <v>1</v>
      </c>
    </row>
    <row r="1174">
      <c r="A1174" s="1" t="s">
        <v>145</v>
      </c>
      <c r="B1174" s="1" t="s">
        <v>3019</v>
      </c>
      <c r="C1174" s="1">
        <v>421.0</v>
      </c>
      <c r="D1174" s="1">
        <v>111.0</v>
      </c>
      <c r="E1174" s="1">
        <v>532.0</v>
      </c>
      <c r="F1174" s="1" t="s">
        <v>3020</v>
      </c>
      <c r="G1174" s="1" t="s">
        <v>3020</v>
      </c>
      <c r="H1174" s="1" t="s">
        <v>269</v>
      </c>
      <c r="I1174" s="1" t="s">
        <v>2275</v>
      </c>
      <c r="J1174" s="1" t="s">
        <v>3012</v>
      </c>
      <c r="K1174" s="1" t="s">
        <v>2277</v>
      </c>
      <c r="L1174" s="1"/>
      <c r="M1174" s="1" t="s">
        <v>3002</v>
      </c>
      <c r="N1174" s="6">
        <f>IFERROR(__xludf.DUMMYFUNCTION("IF(REGEXMATCH(A1174, ""^00-""), 0, IF(AND(EQ(F1174, """"), EQ(G1174, """")), 1, 0))"),0.0)</f>
        <v>0</v>
      </c>
      <c r="O1174" s="6">
        <f>IFERROR(__xludf.DUMMYFUNCTION("IF(REGEXMATCH(A1174, ""^00-""), 0, IF(AND(NE(F1174, """"), EQ(G1174, """")), 1, 0))"),0.0)</f>
        <v>0</v>
      </c>
      <c r="P1174" s="6">
        <f>IFERROR(__xludf.DUMMYFUNCTION("IF(REGEXMATCH(A1174, ""^00-""), 0, IF(AND(EQ(F1174, """"), NE(G1174, """")), 1, 0))"),0.0)</f>
        <v>0</v>
      </c>
      <c r="Q1174" s="6">
        <f>IFERROR(__xludf.DUMMYFUNCTION("IF(REGEXMATCH(A1174, ""^00-""), 0, IF(AND(NE(F1174, """"), NE(G1174, """")), 1, 0))"),1.0)</f>
        <v>1</v>
      </c>
      <c r="R1174" s="6">
        <f t="shared" si="1"/>
        <v>1</v>
      </c>
    </row>
    <row r="1175">
      <c r="A1175" s="1" t="s">
        <v>145</v>
      </c>
      <c r="B1175" s="1" t="s">
        <v>3021</v>
      </c>
      <c r="C1175" s="1">
        <v>519.0</v>
      </c>
      <c r="D1175" s="1">
        <v>13.0</v>
      </c>
      <c r="E1175" s="1">
        <v>532.0</v>
      </c>
      <c r="F1175" s="1" t="s">
        <v>3022</v>
      </c>
      <c r="G1175" s="1" t="s">
        <v>3022</v>
      </c>
      <c r="H1175" s="1" t="s">
        <v>190</v>
      </c>
      <c r="I1175" s="1" t="s">
        <v>2275</v>
      </c>
      <c r="J1175" s="1" t="s">
        <v>3012</v>
      </c>
      <c r="K1175" s="1" t="s">
        <v>2277</v>
      </c>
      <c r="M1175" s="1" t="s">
        <v>191</v>
      </c>
      <c r="N1175" s="6">
        <f>IFERROR(__xludf.DUMMYFUNCTION("IF(REGEXMATCH(A1175, ""^00-""), 0, IF(AND(EQ(F1175, """"), EQ(G1175, """")), 1, 0))"),0.0)</f>
        <v>0</v>
      </c>
      <c r="O1175" s="6">
        <f>IFERROR(__xludf.DUMMYFUNCTION("IF(REGEXMATCH(A1175, ""^00-""), 0, IF(AND(NE(F1175, """"), EQ(G1175, """")), 1, 0))"),0.0)</f>
        <v>0</v>
      </c>
      <c r="P1175" s="6">
        <f>IFERROR(__xludf.DUMMYFUNCTION("IF(REGEXMATCH(A1175, ""^00-""), 0, IF(AND(EQ(F1175, """"), NE(G1175, """")), 1, 0))"),0.0)</f>
        <v>0</v>
      </c>
      <c r="Q1175" s="6">
        <f>IFERROR(__xludf.DUMMYFUNCTION("IF(REGEXMATCH(A1175, ""^00-""), 0, IF(AND(NE(F1175, """"), NE(G1175, """")), 1, 0))"),1.0)</f>
        <v>1</v>
      </c>
      <c r="R1175" s="6">
        <f t="shared" si="1"/>
        <v>1</v>
      </c>
    </row>
    <row r="1176">
      <c r="A1176" s="1" t="s">
        <v>145</v>
      </c>
      <c r="B1176" s="1" t="s">
        <v>3023</v>
      </c>
      <c r="C1176" s="1">
        <v>531.0</v>
      </c>
      <c r="D1176" s="1">
        <v>1.0</v>
      </c>
      <c r="E1176" s="1">
        <v>532.0</v>
      </c>
      <c r="F1176" s="1" t="s">
        <v>3024</v>
      </c>
      <c r="G1176" s="1" t="s">
        <v>3024</v>
      </c>
      <c r="H1176" s="1" t="s">
        <v>190</v>
      </c>
      <c r="I1176" s="1" t="s">
        <v>2275</v>
      </c>
      <c r="J1176" s="1" t="s">
        <v>3012</v>
      </c>
      <c r="K1176" s="1" t="s">
        <v>2277</v>
      </c>
      <c r="M1176" s="1" t="s">
        <v>191</v>
      </c>
      <c r="N1176" s="6">
        <f>IFERROR(__xludf.DUMMYFUNCTION("IF(REGEXMATCH(A1176, ""^00-""), 0, IF(AND(EQ(F1176, """"), EQ(G1176, """")), 1, 0))"),0.0)</f>
        <v>0</v>
      </c>
      <c r="O1176" s="6">
        <f>IFERROR(__xludf.DUMMYFUNCTION("IF(REGEXMATCH(A1176, ""^00-""), 0, IF(AND(NE(F1176, """"), EQ(G1176, """")), 1, 0))"),0.0)</f>
        <v>0</v>
      </c>
      <c r="P1176" s="6">
        <f>IFERROR(__xludf.DUMMYFUNCTION("IF(REGEXMATCH(A1176, ""^00-""), 0, IF(AND(EQ(F1176, """"), NE(G1176, """")), 1, 0))"),0.0)</f>
        <v>0</v>
      </c>
      <c r="Q1176" s="6">
        <f>IFERROR(__xludf.DUMMYFUNCTION("IF(REGEXMATCH(A1176, ""^00-""), 0, IF(AND(NE(F1176, """"), NE(G1176, """")), 1, 0))"),1.0)</f>
        <v>1</v>
      </c>
      <c r="R1176" s="6">
        <f t="shared" si="1"/>
        <v>1</v>
      </c>
    </row>
    <row r="1177">
      <c r="A1177" s="1" t="s">
        <v>145</v>
      </c>
      <c r="B1177" s="1" t="s">
        <v>3025</v>
      </c>
      <c r="C1177" s="1">
        <v>424.0</v>
      </c>
      <c r="D1177" s="1">
        <v>108.0</v>
      </c>
      <c r="E1177" s="1">
        <v>532.0</v>
      </c>
      <c r="F1177" s="1" t="s">
        <v>3026</v>
      </c>
      <c r="G1177" s="1" t="s">
        <v>3026</v>
      </c>
      <c r="H1177" s="1" t="s">
        <v>269</v>
      </c>
      <c r="I1177" s="1" t="s">
        <v>2275</v>
      </c>
      <c r="J1177" s="1" t="s">
        <v>3012</v>
      </c>
      <c r="K1177" s="1" t="s">
        <v>2277</v>
      </c>
      <c r="M1177" s="1" t="s">
        <v>3002</v>
      </c>
      <c r="N1177" s="6">
        <f>IFERROR(__xludf.DUMMYFUNCTION("IF(REGEXMATCH(A1177, ""^00-""), 0, IF(AND(EQ(F1177, """"), EQ(G1177, """")), 1, 0))"),0.0)</f>
        <v>0</v>
      </c>
      <c r="O1177" s="6">
        <f>IFERROR(__xludf.DUMMYFUNCTION("IF(REGEXMATCH(A1177, ""^00-""), 0, IF(AND(NE(F1177, """"), EQ(G1177, """")), 1, 0))"),0.0)</f>
        <v>0</v>
      </c>
      <c r="P1177" s="6">
        <f>IFERROR(__xludf.DUMMYFUNCTION("IF(REGEXMATCH(A1177, ""^00-""), 0, IF(AND(EQ(F1177, """"), NE(G1177, """")), 1, 0))"),0.0)</f>
        <v>0</v>
      </c>
      <c r="Q1177" s="6">
        <f>IFERROR(__xludf.DUMMYFUNCTION("IF(REGEXMATCH(A1177, ""^00-""), 0, IF(AND(NE(F1177, """"), NE(G1177, """")), 1, 0))"),1.0)</f>
        <v>1</v>
      </c>
      <c r="R1177" s="6">
        <f t="shared" si="1"/>
        <v>1</v>
      </c>
    </row>
    <row r="1178">
      <c r="A1178" s="1" t="s">
        <v>145</v>
      </c>
      <c r="B1178" s="1" t="s">
        <v>3027</v>
      </c>
      <c r="C1178" s="1">
        <v>498.0</v>
      </c>
      <c r="D1178" s="1">
        <v>34.0</v>
      </c>
      <c r="E1178" s="1">
        <v>532.0</v>
      </c>
      <c r="F1178" s="1" t="s">
        <v>3028</v>
      </c>
      <c r="G1178" s="1" t="s">
        <v>3028</v>
      </c>
      <c r="H1178" s="1" t="s">
        <v>269</v>
      </c>
      <c r="I1178" s="1" t="s">
        <v>2275</v>
      </c>
      <c r="J1178" s="1" t="s">
        <v>3012</v>
      </c>
      <c r="K1178" s="1" t="s">
        <v>2277</v>
      </c>
      <c r="M1178" s="1" t="s">
        <v>3002</v>
      </c>
      <c r="N1178" s="6">
        <f>IFERROR(__xludf.DUMMYFUNCTION("IF(REGEXMATCH(A1178, ""^00-""), 0, IF(AND(EQ(F1178, """"), EQ(G1178, """")), 1, 0))"),0.0)</f>
        <v>0</v>
      </c>
      <c r="O1178" s="6">
        <f>IFERROR(__xludf.DUMMYFUNCTION("IF(REGEXMATCH(A1178, ""^00-""), 0, IF(AND(NE(F1178, """"), EQ(G1178, """")), 1, 0))"),0.0)</f>
        <v>0</v>
      </c>
      <c r="P1178" s="6">
        <f>IFERROR(__xludf.DUMMYFUNCTION("IF(REGEXMATCH(A1178, ""^00-""), 0, IF(AND(EQ(F1178, """"), NE(G1178, """")), 1, 0))"),0.0)</f>
        <v>0</v>
      </c>
      <c r="Q1178" s="6">
        <f>IFERROR(__xludf.DUMMYFUNCTION("IF(REGEXMATCH(A1178, ""^00-""), 0, IF(AND(NE(F1178, """"), NE(G1178, """")), 1, 0))"),1.0)</f>
        <v>1</v>
      </c>
      <c r="R1178" s="6">
        <f t="shared" si="1"/>
        <v>1</v>
      </c>
    </row>
    <row r="1179">
      <c r="A1179" s="1" t="s">
        <v>145</v>
      </c>
      <c r="B1179" s="1" t="s">
        <v>3029</v>
      </c>
      <c r="C1179" s="1">
        <v>504.0</v>
      </c>
      <c r="D1179" s="1">
        <v>28.0</v>
      </c>
      <c r="E1179" s="1">
        <v>532.0</v>
      </c>
      <c r="F1179" s="1" t="s">
        <v>3030</v>
      </c>
      <c r="G1179" s="1" t="s">
        <v>3030</v>
      </c>
      <c r="H1179" s="1" t="s">
        <v>190</v>
      </c>
      <c r="I1179" s="1" t="s">
        <v>2275</v>
      </c>
      <c r="J1179" s="1" t="s">
        <v>3012</v>
      </c>
      <c r="K1179" s="1" t="s">
        <v>2277</v>
      </c>
      <c r="M1179" s="1" t="s">
        <v>191</v>
      </c>
      <c r="N1179" s="6">
        <f>IFERROR(__xludf.DUMMYFUNCTION("IF(REGEXMATCH(A1179, ""^00-""), 0, IF(AND(EQ(F1179, """"), EQ(G1179, """")), 1, 0))"),0.0)</f>
        <v>0</v>
      </c>
      <c r="O1179" s="6">
        <f>IFERROR(__xludf.DUMMYFUNCTION("IF(REGEXMATCH(A1179, ""^00-""), 0, IF(AND(NE(F1179, """"), EQ(G1179, """")), 1, 0))"),0.0)</f>
        <v>0</v>
      </c>
      <c r="P1179" s="6">
        <f>IFERROR(__xludf.DUMMYFUNCTION("IF(REGEXMATCH(A1179, ""^00-""), 0, IF(AND(EQ(F1179, """"), NE(G1179, """")), 1, 0))"),0.0)</f>
        <v>0</v>
      </c>
      <c r="Q1179" s="6">
        <f>IFERROR(__xludf.DUMMYFUNCTION("IF(REGEXMATCH(A1179, ""^00-""), 0, IF(AND(NE(F1179, """"), NE(G1179, """")), 1, 0))"),1.0)</f>
        <v>1</v>
      </c>
      <c r="R1179" s="6">
        <f t="shared" si="1"/>
        <v>1</v>
      </c>
    </row>
    <row r="1180">
      <c r="A1180" s="1" t="s">
        <v>145</v>
      </c>
      <c r="B1180" s="1" t="s">
        <v>3031</v>
      </c>
      <c r="C1180" s="1">
        <v>430.0</v>
      </c>
      <c r="D1180" s="1">
        <v>102.0</v>
      </c>
      <c r="E1180" s="1">
        <v>532.0</v>
      </c>
      <c r="F1180" s="1" t="s">
        <v>3032</v>
      </c>
      <c r="G1180" s="1" t="s">
        <v>3032</v>
      </c>
      <c r="H1180" s="1" t="s">
        <v>190</v>
      </c>
      <c r="I1180" s="1" t="s">
        <v>2275</v>
      </c>
      <c r="J1180" s="1" t="s">
        <v>3012</v>
      </c>
      <c r="K1180" s="1" t="s">
        <v>2277</v>
      </c>
      <c r="M1180" s="1" t="s">
        <v>191</v>
      </c>
      <c r="N1180" s="6">
        <f>IFERROR(__xludf.DUMMYFUNCTION("IF(REGEXMATCH(A1180, ""^00-""), 0, IF(AND(EQ(F1180, """"), EQ(G1180, """")), 1, 0))"),0.0)</f>
        <v>0</v>
      </c>
      <c r="O1180" s="6">
        <f>IFERROR(__xludf.DUMMYFUNCTION("IF(REGEXMATCH(A1180, ""^00-""), 0, IF(AND(NE(F1180, """"), EQ(G1180, """")), 1, 0))"),0.0)</f>
        <v>0</v>
      </c>
      <c r="P1180" s="6">
        <f>IFERROR(__xludf.DUMMYFUNCTION("IF(REGEXMATCH(A1180, ""^00-""), 0, IF(AND(EQ(F1180, """"), NE(G1180, """")), 1, 0))"),0.0)</f>
        <v>0</v>
      </c>
      <c r="Q1180" s="6">
        <f>IFERROR(__xludf.DUMMYFUNCTION("IF(REGEXMATCH(A1180, ""^00-""), 0, IF(AND(NE(F1180, """"), NE(G1180, """")), 1, 0))"),1.0)</f>
        <v>1</v>
      </c>
      <c r="R1180" s="6">
        <f t="shared" si="1"/>
        <v>1</v>
      </c>
    </row>
    <row r="1181">
      <c r="A1181" s="1" t="s">
        <v>145</v>
      </c>
      <c r="B1181" s="1" t="s">
        <v>3033</v>
      </c>
      <c r="C1181" s="1">
        <v>347.0</v>
      </c>
      <c r="D1181" s="1">
        <v>185.0</v>
      </c>
      <c r="E1181" s="1">
        <v>532.0</v>
      </c>
      <c r="G1181" s="1" t="s">
        <v>3034</v>
      </c>
      <c r="H1181" s="1" t="s">
        <v>269</v>
      </c>
      <c r="I1181" s="1" t="s">
        <v>2275</v>
      </c>
      <c r="J1181" s="1" t="s">
        <v>3012</v>
      </c>
      <c r="K1181" s="1" t="s">
        <v>2277</v>
      </c>
      <c r="M1181" s="1" t="s">
        <v>3033</v>
      </c>
      <c r="N1181" s="6">
        <f>IFERROR(__xludf.DUMMYFUNCTION("IF(REGEXMATCH(A1181, ""^00-""), 0, IF(AND(EQ(F1181, """"), EQ(G1181, """")), 1, 0))"),0.0)</f>
        <v>0</v>
      </c>
      <c r="O1181" s="6">
        <f>IFERROR(__xludf.DUMMYFUNCTION("IF(REGEXMATCH(A1181, ""^00-""), 0, IF(AND(NE(F1181, """"), EQ(G1181, """")), 1, 0))"),0.0)</f>
        <v>0</v>
      </c>
      <c r="P1181" s="6">
        <f>IFERROR(__xludf.DUMMYFUNCTION("IF(REGEXMATCH(A1181, ""^00-""), 0, IF(AND(EQ(F1181, """"), NE(G1181, """")), 1, 0))"),1.0)</f>
        <v>1</v>
      </c>
      <c r="Q1181" s="6">
        <f>IFERROR(__xludf.DUMMYFUNCTION("IF(REGEXMATCH(A1181, ""^00-""), 0, IF(AND(NE(F1181, """"), NE(G1181, """")), 1, 0))"),0.0)</f>
        <v>0</v>
      </c>
      <c r="R1181" s="6">
        <f t="shared" si="1"/>
        <v>1</v>
      </c>
    </row>
    <row r="1182">
      <c r="A1182" s="1" t="s">
        <v>147</v>
      </c>
      <c r="B1182" s="1" t="s">
        <v>3035</v>
      </c>
      <c r="C1182" s="1">
        <v>498.0</v>
      </c>
      <c r="D1182" s="1">
        <v>34.0</v>
      </c>
      <c r="E1182" s="1">
        <v>532.0</v>
      </c>
      <c r="H1182" s="1" t="s">
        <v>269</v>
      </c>
      <c r="I1182" s="1" t="s">
        <v>2275</v>
      </c>
      <c r="J1182" s="1" t="s">
        <v>3012</v>
      </c>
      <c r="K1182" s="1" t="s">
        <v>2277</v>
      </c>
      <c r="M1182" s="1" t="s">
        <v>3002</v>
      </c>
      <c r="N1182" s="6">
        <f>IFERROR(__xludf.DUMMYFUNCTION("IF(REGEXMATCH(A1182, ""^00-""), 0, IF(AND(EQ(F1182, """"), EQ(G1182, """")), 1, 0))"),1.0)</f>
        <v>1</v>
      </c>
      <c r="O1182" s="6">
        <f>IFERROR(__xludf.DUMMYFUNCTION("IF(REGEXMATCH(A1182, ""^00-""), 0, IF(AND(NE(F1182, """"), EQ(G1182, """")), 1, 0))"),0.0)</f>
        <v>0</v>
      </c>
      <c r="P1182" s="6">
        <f>IFERROR(__xludf.DUMMYFUNCTION("IF(REGEXMATCH(A1182, ""^00-""), 0, IF(AND(EQ(F1182, """"), NE(G1182, """")), 1, 0))"),0.0)</f>
        <v>0</v>
      </c>
      <c r="Q1182" s="6">
        <f>IFERROR(__xludf.DUMMYFUNCTION("IF(REGEXMATCH(A1182, ""^00-""), 0, IF(AND(NE(F1182, """"), NE(G1182, """")), 1, 0))"),0.0)</f>
        <v>0</v>
      </c>
      <c r="R1182" s="6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49.88"/>
    <col customWidth="1" min="3" max="3" width="26.63"/>
    <col customWidth="1" min="4" max="4" width="10.25"/>
  </cols>
  <sheetData>
    <row r="1">
      <c r="A1" s="1" t="s">
        <v>0</v>
      </c>
      <c r="B1" s="6" t="str">
        <f>'02-variable-info'!B1</f>
        <v>variable</v>
      </c>
      <c r="C1" s="6" t="str">
        <f>'02-variable-info'!M1</f>
        <v>type</v>
      </c>
      <c r="D1" s="6" t="str">
        <f>'02-variable-info'!H1</f>
        <v>display_type</v>
      </c>
    </row>
    <row r="2">
      <c r="B2" s="6" t="str">
        <f>'02-variable-info'!B2</f>
        <v>_study</v>
      </c>
      <c r="C2" s="6" t="str">
        <f>'02-variable-info'!M2</f>
        <v>text</v>
      </c>
      <c r="D2" s="6" t="str">
        <f>'02-variable-info'!H2</f>
        <v>text</v>
      </c>
    </row>
    <row r="3">
      <c r="B3" s="6" t="str">
        <f>'02-variable-info'!B3</f>
        <v>center</v>
      </c>
      <c r="C3" s="6" t="str">
        <f>'02-variable-info'!M3</f>
        <v>text</v>
      </c>
      <c r="D3" s="6" t="str">
        <f>'02-variable-info'!H3</f>
        <v>text</v>
      </c>
    </row>
    <row r="4">
      <c r="B4" s="6" t="str">
        <f>'02-variable-info'!B4</f>
        <v>subjectID</v>
      </c>
      <c r="C4" s="6" t="str">
        <f>'02-variable-info'!M4</f>
        <v>text</v>
      </c>
      <c r="D4" s="6" t="str">
        <f>'02-variable-info'!H4</f>
        <v>text</v>
      </c>
    </row>
    <row r="5">
      <c r="B5" s="6" t="str">
        <f>'02-variable-info'!B5</f>
        <v>followupCenter</v>
      </c>
      <c r="C5" s="6" t="str">
        <f>'02-variable-info'!M5</f>
        <v>text</v>
      </c>
      <c r="D5" s="6" t="str">
        <f>'02-variable-info'!H5</f>
        <v>text</v>
      </c>
    </row>
    <row r="6">
      <c r="B6" s="6" t="str">
        <f>'02-variable-info'!B6</f>
        <v>followupID</v>
      </c>
      <c r="C6" s="6" t="str">
        <f>'02-variable-info'!M6</f>
        <v>text</v>
      </c>
      <c r="D6" s="6" t="str">
        <f>'02-variable-info'!H6</f>
        <v>text</v>
      </c>
    </row>
    <row r="7">
      <c r="A7" s="6" t="str">
        <f>'02-variable-info'!A7</f>
        <v>01-02-screening.csv</v>
      </c>
      <c r="B7" s="6" t="str">
        <f>'02-variable-info'!B7</f>
        <v>birthNumber</v>
      </c>
      <c r="C7" s="6" t="str">
        <f>'02-variable-info'!M7</f>
        <v>int</v>
      </c>
      <c r="D7" s="6" t="str">
        <f>'02-variable-info'!H7</f>
        <v>number</v>
      </c>
    </row>
    <row r="8">
      <c r="A8" s="6" t="str">
        <f>'02-variable-info'!A8</f>
        <v>01-02-screening.csv</v>
      </c>
      <c r="B8" s="6" t="str">
        <f>'02-variable-info'!B8</f>
        <v>screenComment</v>
      </c>
      <c r="C8" s="6" t="str">
        <f>'02-variable-info'!M8</f>
        <v>text</v>
      </c>
      <c r="D8" s="6" t="str">
        <f>'02-variable-info'!H8</f>
        <v>text</v>
      </c>
    </row>
    <row r="9">
      <c r="A9" s="6" t="str">
        <f>'02-variable-info'!A9</f>
        <v>01-02-screening.csv</v>
      </c>
      <c r="B9" s="6" t="str">
        <f>'02-variable-info'!B9</f>
        <v>coreTempLess32p5CGreaterEq2Hr_e</v>
      </c>
      <c r="C9" s="6" t="str">
        <f>'02-variable-info'!M9</f>
        <v>bool</v>
      </c>
      <c r="D9" s="6" t="str">
        <f>'02-variable-info'!H9</f>
        <v>boolean</v>
      </c>
    </row>
    <row r="10">
      <c r="A10" s="6" t="str">
        <f>'02-variable-info'!A10</f>
        <v>01-02-screening.csv</v>
      </c>
      <c r="B10" s="6" t="str">
        <f>'02-variable-info'!B10</f>
        <v>coreTempLess33p5CGreater1Hr_e</v>
      </c>
      <c r="C10" s="6" t="str">
        <f>'02-variable-info'!M10</f>
        <v>bool</v>
      </c>
      <c r="D10" s="6" t="str">
        <f>'02-variable-info'!H10</f>
        <v>boolean</v>
      </c>
    </row>
    <row r="11">
      <c r="A11" s="6" t="str">
        <f>'02-variable-info'!A11</f>
        <v>01-02-screening.csv</v>
      </c>
      <c r="B11" s="6" t="str">
        <f>'02-variable-info'!B11</f>
        <v>coreTempLess34CGreater1Hr_e</v>
      </c>
      <c r="C11" s="6" t="str">
        <f>'02-variable-info'!M11</f>
        <v>bool</v>
      </c>
      <c r="D11" s="6" t="str">
        <f>'02-variable-info'!H11</f>
        <v>boolean</v>
      </c>
    </row>
    <row r="12">
      <c r="A12" s="6" t="str">
        <f>'02-variable-info'!A12</f>
        <v>01-02-screening.csv</v>
      </c>
      <c r="B12" s="6" t="str">
        <f>'02-variable-info'!B12</f>
        <v>first6HrCoolByClinicalProtocol_e</v>
      </c>
      <c r="C12" s="6" t="str">
        <f>'02-variable-info'!M12</f>
        <v>bool</v>
      </c>
      <c r="D12" s="6" t="str">
        <f>'02-variable-info'!H12</f>
        <v>boolean</v>
      </c>
    </row>
    <row r="13">
      <c r="A13" s="6" t="str">
        <f>'02-variable-info'!A13</f>
        <v>01-02-screening.csv</v>
      </c>
      <c r="B13" s="6" t="str">
        <f>'02-variable-info'!B13</f>
        <v>chromosomalAbnormality_e</v>
      </c>
      <c r="C13" s="6" t="str">
        <f>'02-variable-info'!M13</f>
        <v>bool</v>
      </c>
      <c r="D13" s="6" t="str">
        <f>'02-variable-info'!H13</f>
        <v>boolean</v>
      </c>
    </row>
    <row r="14">
      <c r="A14" s="6" t="str">
        <f>'02-variable-info'!A14</f>
        <v>01-02-screening.csv</v>
      </c>
      <c r="B14" s="6" t="str">
        <f>'02-variable-info'!B14</f>
        <v>majorCongenitalAnomaly_e</v>
      </c>
      <c r="C14" s="6" t="str">
        <f>'02-variable-info'!M14</f>
        <v>bool</v>
      </c>
      <c r="D14" s="6" t="str">
        <f>'02-variable-info'!H14</f>
        <v>boolean</v>
      </c>
    </row>
    <row r="15">
      <c r="A15" s="6" t="str">
        <f>'02-variable-info'!A15</f>
        <v>01-02-screening.csv</v>
      </c>
      <c r="B15" s="6" t="str">
        <f>'02-variable-info'!B15</f>
        <v>birthWeightLessEq1800g_e</v>
      </c>
      <c r="C15" s="6" t="str">
        <f>'02-variable-info'!M15</f>
        <v>bool</v>
      </c>
      <c r="D15" s="6" t="str">
        <f>'02-variable-info'!H15</f>
        <v>boolean</v>
      </c>
    </row>
    <row r="16">
      <c r="A16" s="6" t="str">
        <f>'02-variable-info'!A16</f>
        <v>01-02-screening.csv</v>
      </c>
      <c r="B16" s="6" t="str">
        <f>'02-variable-info'!B16</f>
        <v>infantUnlikelySurvive_e</v>
      </c>
      <c r="C16" s="6" t="str">
        <f>'02-variable-info'!M16</f>
        <v>bool</v>
      </c>
      <c r="D16" s="6" t="str">
        <f>'02-variable-info'!H16</f>
        <v>boolean</v>
      </c>
    </row>
    <row r="17">
      <c r="A17" s="6" t="str">
        <f>'02-variable-info'!A17</f>
        <v>01-02-screening.csv</v>
      </c>
      <c r="B17" s="6" t="str">
        <f>'02-variable-info'!B17</f>
        <v>first60MinAllBloodGasPHGreater7p15BaseDeficitLess10mEqPerL_e</v>
      </c>
      <c r="C17" s="6" t="str">
        <f>'02-variable-info'!M17</f>
        <v>bool</v>
      </c>
      <c r="D17" s="6" t="str">
        <f>'02-variable-info'!H17</f>
        <v>boolean</v>
      </c>
    </row>
    <row r="18">
      <c r="A18" s="6" t="str">
        <f>'02-variable-info'!A18</f>
        <v>01-02-screening.csv</v>
      </c>
      <c r="B18" s="6" t="str">
        <f>'02-variable-info'!B18</f>
        <v>postnatalAgeLess6HrOrGreater24Hr_e</v>
      </c>
      <c r="C18" s="6" t="str">
        <f>'02-variable-info'!M18</f>
        <v>bool</v>
      </c>
      <c r="D18" s="6" t="str">
        <f>'02-variable-info'!H18</f>
        <v>boolean</v>
      </c>
    </row>
    <row r="19">
      <c r="A19" s="6" t="str">
        <f>'02-variable-info'!A19</f>
        <v>01-02-screening.csv</v>
      </c>
      <c r="B19" s="6" t="str">
        <f>'02-variable-info'!B19</f>
        <v>enrolledConflictingTrial_e</v>
      </c>
      <c r="C19" s="6" t="str">
        <f>'02-variable-info'!M19</f>
        <v>bool</v>
      </c>
      <c r="D19" s="6" t="str">
        <f>'02-variable-info'!H19</f>
        <v>boolean</v>
      </c>
    </row>
    <row r="20">
      <c r="A20" s="6" t="str">
        <f>'02-variable-info'!A20</f>
        <v>01-02-screening.csv</v>
      </c>
      <c r="B20" s="6" t="str">
        <f>'02-variable-info'!B20</f>
        <v>first60MinAnyBloodGasPHLessEq7_i</v>
      </c>
      <c r="C20" s="6" t="str">
        <f>'02-variable-info'!M20</f>
        <v>bool</v>
      </c>
      <c r="D20" s="6" t="str">
        <f>'02-variable-info'!H20</f>
        <v>boolean</v>
      </c>
    </row>
    <row r="21">
      <c r="A21" s="6" t="str">
        <f>'02-variable-info'!A21</f>
        <v>01-02-screening.csv</v>
      </c>
      <c r="B21" s="6" t="str">
        <f>'02-variable-info'!B21</f>
        <v>first60MinAnyBloodGasBaseDeficitGreaterEq16mEqPerL_i</v>
      </c>
      <c r="C21" s="6" t="str">
        <f>'02-variable-info'!M21</f>
        <v>bool</v>
      </c>
      <c r="D21" s="6" t="str">
        <f>'02-variable-info'!H21</f>
        <v>boolean</v>
      </c>
    </row>
    <row r="22">
      <c r="A22" s="6" t="str">
        <f>'02-variable-info'!A22</f>
        <v>01-02-screening.csv</v>
      </c>
      <c r="B22" s="6" t="str">
        <f>'02-variable-info'!B22</f>
        <v>historyPerinatalEvent_i</v>
      </c>
      <c r="C22" s="6" t="str">
        <f>'02-variable-info'!M22</f>
        <v>bool</v>
      </c>
      <c r="D22" s="6" t="str">
        <f>'02-variable-info'!H22</f>
        <v>boolean</v>
      </c>
    </row>
    <row r="23">
      <c r="A23" s="6" t="str">
        <f>'02-variable-info'!A23</f>
        <v>01-02-screening.csv</v>
      </c>
      <c r="B23" s="6" t="str">
        <f>'02-variable-info'!B23</f>
        <v>at10MinApgarLessEq5OrVent_i</v>
      </c>
      <c r="C23" s="6" t="str">
        <f>'02-variable-info'!M23</f>
        <v>bool</v>
      </c>
      <c r="D23" s="6" t="str">
        <f>'02-variable-info'!H23</f>
        <v>boolean</v>
      </c>
    </row>
    <row r="24">
      <c r="A24" s="6" t="str">
        <f>'02-variable-info'!A24</f>
        <v>01-02-screening.csv</v>
      </c>
      <c r="B24" s="6" t="str">
        <f>'02-variable-info'!B24</f>
        <v>randomEligible</v>
      </c>
      <c r="C24" s="6" t="str">
        <f>'02-variable-info'!M24</f>
        <v>bool</v>
      </c>
      <c r="D24" s="6" t="str">
        <f>'02-variable-info'!H24</f>
        <v>boolean</v>
      </c>
    </row>
    <row r="25">
      <c r="A25" s="6" t="str">
        <f>'02-variable-info'!A25</f>
        <v>01-02-screening.csv</v>
      </c>
      <c r="B25" s="6" t="str">
        <f>'02-variable-info'!B25</f>
        <v>consentStatus</v>
      </c>
      <c r="C25" s="6" t="str">
        <f>'02-variable-info'!M25</f>
        <v>consentStatus</v>
      </c>
      <c r="D25" s="6" t="str">
        <f>'02-variable-info'!H25</f>
        <v>nomial</v>
      </c>
    </row>
    <row r="26">
      <c r="A26" s="6" t="str">
        <f>'02-variable-info'!A26</f>
        <v>01-02-screening.csv</v>
      </c>
      <c r="B26" s="6" t="str">
        <f>'02-variable-info'!B26</f>
        <v>noConsentReason</v>
      </c>
      <c r="C26" s="6" t="str">
        <f>'02-variable-info'!M26</f>
        <v>text</v>
      </c>
      <c r="D26" s="6" t="str">
        <f>'02-variable-info'!H26</f>
        <v>text</v>
      </c>
    </row>
    <row r="27">
      <c r="A27" s="6" t="str">
        <f>'02-variable-info'!A27</f>
        <v>01-02-screening.csv</v>
      </c>
      <c r="B27" s="6" t="str">
        <f>'02-variable-info'!B27</f>
        <v>noInStudyReason</v>
      </c>
      <c r="C27" s="6" t="str">
        <f>'02-variable-info'!M27</f>
        <v>text</v>
      </c>
      <c r="D27" s="6" t="str">
        <f>'02-variable-info'!H27</f>
        <v>text</v>
      </c>
    </row>
    <row r="28">
      <c r="A28" s="6" t="str">
        <f>'02-variable-info'!A28</f>
        <v>01-02-screening.csv</v>
      </c>
      <c r="B28" s="6" t="str">
        <f>'02-variable-info'!B28</f>
        <v>random</v>
      </c>
      <c r="C28" s="6" t="str">
        <f>'02-variable-info'!M28</f>
        <v>bool</v>
      </c>
      <c r="D28" s="6" t="str">
        <f>'02-variable-info'!H28</f>
        <v>boolean</v>
      </c>
    </row>
    <row r="29">
      <c r="A29" s="6" t="str">
        <f>'02-variable-info'!A29</f>
        <v>01-02-screening.csv</v>
      </c>
      <c r="B29" s="6" t="str">
        <f>'02-variable-info'!B29</f>
        <v>noRandomReason</v>
      </c>
      <c r="C29" s="6" t="str">
        <f>'02-variable-info'!M29</f>
        <v>text</v>
      </c>
      <c r="D29" s="6" t="str">
        <f>'02-variable-info'!H29</f>
        <v>text</v>
      </c>
    </row>
    <row r="30">
      <c r="A30" s="6" t="str">
        <f>'02-variable-info'!A30</f>
        <v>01-02-screening.csv</v>
      </c>
      <c r="B30" s="6" t="str">
        <f>'02-variable-info'!B30</f>
        <v>noRandomReasonText</v>
      </c>
      <c r="C30" s="6" t="str">
        <f>'02-variable-info'!M30</f>
        <v>text</v>
      </c>
      <c r="D30" s="6" t="str">
        <f>'02-variable-info'!H30</f>
        <v>text</v>
      </c>
    </row>
    <row r="31">
      <c r="A31" s="6" t="str">
        <f>'02-variable-info'!A31</f>
        <v>01-02-screening.csv</v>
      </c>
      <c r="B31" s="6" t="str">
        <f>'02-variable-info'!B31</f>
        <v>randomDate</v>
      </c>
      <c r="C31" s="6" t="str">
        <f>'02-variable-info'!M31</f>
        <v>date</v>
      </c>
      <c r="D31" s="6" t="str">
        <f>'02-variable-info'!H31</f>
        <v>date</v>
      </c>
    </row>
    <row r="32">
      <c r="A32" s="6" t="str">
        <f>'02-variable-info'!A32</f>
        <v>01-02-screening.csv</v>
      </c>
      <c r="B32" s="6" t="str">
        <f>'02-variable-info'!B32</f>
        <v>randomTime</v>
      </c>
      <c r="C32" s="6" t="str">
        <f>'02-variable-info'!M32</f>
        <v>time</v>
      </c>
      <c r="D32" s="6" t="str">
        <f>'02-variable-info'!H32</f>
        <v>time</v>
      </c>
    </row>
    <row r="33">
      <c r="A33" s="6" t="str">
        <f>'02-variable-info'!A33</f>
        <v>01-02-screening.csv</v>
      </c>
      <c r="B33" s="6" t="str">
        <f>'02-variable-info'!B33</f>
        <v>ageRand_hr</v>
      </c>
      <c r="C33" s="6" t="str">
        <f>'02-variable-info'!M33</f>
        <v>float</v>
      </c>
      <c r="D33" s="6" t="str">
        <f>'02-variable-info'!H33</f>
        <v>number</v>
      </c>
    </row>
    <row r="34">
      <c r="A34" s="6" t="str">
        <f>'02-variable-info'!A34</f>
        <v>01-02-screening.csv</v>
      </c>
      <c r="B34" s="6" t="str">
        <f>'02-variable-info'!B34</f>
        <v>randomNumber</v>
      </c>
      <c r="C34" s="6" t="str">
        <f>'02-variable-info'!M34</f>
        <v>text</v>
      </c>
      <c r="D34" s="6" t="str">
        <f>'02-variable-info'!H34</f>
        <v>text</v>
      </c>
    </row>
    <row r="35">
      <c r="A35" s="6" t="str">
        <f>'02-variable-info'!A35</f>
        <v>01-02-screening.csv</v>
      </c>
      <c r="B35" s="6" t="str">
        <f>'02-variable-info'!B35</f>
        <v>randomTreatmentAssign</v>
      </c>
      <c r="C35" s="6" t="str">
        <f>'02-variable-info'!M35</f>
        <v>treatmentAssign</v>
      </c>
      <c r="D35" s="6" t="str">
        <f>'02-variable-info'!H35</f>
        <v>nomial</v>
      </c>
    </row>
    <row r="36">
      <c r="A36" s="6" t="str">
        <f>'02-variable-info'!A36</f>
        <v>01-02-screening.csv</v>
      </c>
      <c r="B36" s="6" t="str">
        <f>'02-variable-info'!B36</f>
        <v>randomTreatmentReceive</v>
      </c>
      <c r="C36" s="6" t="str">
        <f>'02-variable-info'!M36</f>
        <v>bool</v>
      </c>
      <c r="D36" s="6" t="str">
        <f>'02-variable-info'!H36</f>
        <v>boolean</v>
      </c>
    </row>
    <row r="37">
      <c r="A37" s="6" t="str">
        <f>'02-variable-info'!A37</f>
        <v>01-02-screening.csv</v>
      </c>
      <c r="B37" s="6" t="str">
        <f>'02-variable-info'!B37</f>
        <v>treatmentBlanketType</v>
      </c>
      <c r="C37" s="6" t="str">
        <f>'02-variable-info'!M37</f>
        <v>blanketType</v>
      </c>
      <c r="D37" s="6" t="str">
        <f>'02-variable-info'!H37</f>
        <v>ordinal</v>
      </c>
    </row>
    <row r="38">
      <c r="A38" s="6" t="str">
        <f>'02-variable-info'!A38</f>
        <v>01-02-screening.csv</v>
      </c>
      <c r="B38" s="6" t="str">
        <f>'02-variable-info'!B38</f>
        <v>treatmentAssignmentDuration_hr</v>
      </c>
      <c r="C38" s="6" t="str">
        <f>'02-variable-info'!M38</f>
        <v>int</v>
      </c>
      <c r="D38" s="6" t="str">
        <f>'02-variable-info'!H38</f>
        <v>number</v>
      </c>
    </row>
    <row r="39">
      <c r="A39" s="6" t="str">
        <f>'02-variable-info'!A39</f>
        <v>01-02-screening.csv</v>
      </c>
      <c r="B39" s="6" t="str">
        <f>'02-variable-info'!B39</f>
        <v>treatmentAssignmentTemperature</v>
      </c>
      <c r="C39" s="6" t="str">
        <f>'02-variable-info'!M39</f>
        <v>float</v>
      </c>
      <c r="D39" s="6" t="str">
        <f>'02-variable-info'!H39</f>
        <v>number</v>
      </c>
    </row>
    <row r="40">
      <c r="A40" s="6" t="str">
        <f>'02-variable-info'!A40</f>
        <v>01-02-screening.csv</v>
      </c>
      <c r="B40" s="6" t="str">
        <f>'02-variable-info'!B40</f>
        <v>usualCoolingTreatmentGroup</v>
      </c>
      <c r="C40" s="6" t="str">
        <f>'02-variable-info'!M40</f>
        <v>bool</v>
      </c>
      <c r="D40" s="6" t="str">
        <f>'02-variable-info'!H40</f>
        <v>boolean</v>
      </c>
    </row>
    <row r="41">
      <c r="A41" s="6" t="str">
        <f>'02-variable-info'!A41</f>
        <v>01-02-screening.csv</v>
      </c>
      <c r="B41" s="6" t="str">
        <f>'02-variable-info'!B41</f>
        <v>inOtherTrial</v>
      </c>
      <c r="C41" s="6" t="str">
        <f>'02-variable-info'!M41</f>
        <v>bool</v>
      </c>
      <c r="D41" s="6" t="str">
        <f>'02-variable-info'!H41</f>
        <v>boolean</v>
      </c>
    </row>
    <row r="42">
      <c r="A42" s="6" t="str">
        <f>'02-variable-info'!A42</f>
        <v>01-02-screening.csv</v>
      </c>
      <c r="B42" s="6" t="str">
        <f>'02-variable-info'!B42</f>
        <v>inOtherTrialText</v>
      </c>
      <c r="C42" s="6" t="str">
        <f>'02-variable-info'!M42</f>
        <v>text</v>
      </c>
      <c r="D42" s="6" t="str">
        <f>'02-variable-info'!H42</f>
        <v>text</v>
      </c>
    </row>
    <row r="43">
      <c r="A43" s="6" t="str">
        <f>'02-variable-info'!A43</f>
        <v>01-03-maternal-demographics.csv</v>
      </c>
      <c r="B43" s="6" t="str">
        <f>'02-variable-info'!B43</f>
        <v>motherAge_year</v>
      </c>
      <c r="C43" s="6" t="str">
        <f>'02-variable-info'!M43</f>
        <v>int</v>
      </c>
      <c r="D43" s="6" t="str">
        <f>'02-variable-info'!H43</f>
        <v>number</v>
      </c>
    </row>
    <row r="44">
      <c r="A44" s="6" t="str">
        <f>'02-variable-info'!A44</f>
        <v>01-03-maternal-demographics.csv</v>
      </c>
      <c r="B44" s="6" t="str">
        <f>'02-variable-info'!B44</f>
        <v>motherRace</v>
      </c>
      <c r="C44" s="6" t="str">
        <f>'02-variable-info'!M44</f>
        <v>race</v>
      </c>
      <c r="D44" s="6" t="str">
        <f>'02-variable-info'!H44</f>
        <v>nomial</v>
      </c>
    </row>
    <row r="45">
      <c r="A45" s="6" t="str">
        <f>'02-variable-info'!A45</f>
        <v>01-03-maternal-demographics.csv</v>
      </c>
      <c r="B45" s="6" t="str">
        <f>'02-variable-info'!B45</f>
        <v>motherEthnicity</v>
      </c>
      <c r="C45" s="6" t="str">
        <f>'02-variable-info'!M45</f>
        <v>ethnicity</v>
      </c>
      <c r="D45" s="6" t="str">
        <f>'02-variable-info'!H45</f>
        <v>nomial</v>
      </c>
    </row>
    <row r="46">
      <c r="A46" s="6" t="str">
        <f>'02-variable-info'!A46</f>
        <v>01-03-maternal-demographics.csv</v>
      </c>
      <c r="B46" s="6" t="str">
        <f>'02-variable-info'!B46</f>
        <v>motherMaritalStatus</v>
      </c>
      <c r="C46" s="6" t="str">
        <f>'02-variable-info'!M46</f>
        <v>maritalStatus</v>
      </c>
      <c r="D46" s="6" t="str">
        <f>'02-variable-info'!H46</f>
        <v>nomial</v>
      </c>
    </row>
    <row r="47">
      <c r="A47" s="6" t="str">
        <f>'02-variable-info'!A47</f>
        <v>01-03-maternal-demographics.csv</v>
      </c>
      <c r="B47" s="6" t="str">
        <f>'02-variable-info'!B47</f>
        <v>motherEducation</v>
      </c>
      <c r="C47" s="6" t="str">
        <f>'02-variable-info'!M47</f>
        <v>education</v>
      </c>
      <c r="D47" s="6" t="str">
        <f>'02-variable-info'!H47</f>
        <v>ordinal</v>
      </c>
    </row>
    <row r="48">
      <c r="A48" s="6" t="str">
        <f>'02-variable-info'!A48</f>
        <v>01-03-maternal-demographics.csv</v>
      </c>
      <c r="B48" s="6" t="str">
        <f>'02-variable-info'!B48</f>
        <v>motherInsurance</v>
      </c>
      <c r="C48" s="6" t="str">
        <f>'02-variable-info'!M48</f>
        <v>insurance</v>
      </c>
      <c r="D48" s="6" t="str">
        <f>'02-variable-info'!H48</f>
        <v>ordinal</v>
      </c>
    </row>
    <row r="49">
      <c r="A49" s="6" t="str">
        <f>'02-variable-info'!A49</f>
        <v>01-04-pregnancy-history.csv</v>
      </c>
      <c r="B49" s="6" t="str">
        <f>'02-variable-info'!B49</f>
        <v>gravida</v>
      </c>
      <c r="C49" s="6" t="str">
        <f>'02-variable-info'!M49</f>
        <v>int</v>
      </c>
      <c r="D49" s="6" t="str">
        <f>'02-variable-info'!H49</f>
        <v>number</v>
      </c>
    </row>
    <row r="50">
      <c r="A50" s="6" t="str">
        <f>'02-variable-info'!A50</f>
        <v>01-04-pregnancy-history.csv</v>
      </c>
      <c r="B50" s="6" t="str">
        <f>'02-variable-info'!B50</f>
        <v>parity</v>
      </c>
      <c r="C50" s="6" t="str">
        <f>'02-variable-info'!M50</f>
        <v>int</v>
      </c>
      <c r="D50" s="6" t="str">
        <f>'02-variable-info'!H50</f>
        <v>number</v>
      </c>
    </row>
    <row r="51">
      <c r="A51" s="6" t="str">
        <f>'02-variable-info'!A51</f>
        <v>01-04-pregnancy-history.csv</v>
      </c>
      <c r="B51" s="6" t="str">
        <f>'02-variable-info'!B51</f>
        <v>multipleBirth</v>
      </c>
      <c r="C51" s="6" t="str">
        <f>'02-variable-info'!M51</f>
        <v>bool</v>
      </c>
      <c r="D51" s="6" t="str">
        <f>'02-variable-info'!H51</f>
        <v>boolean</v>
      </c>
    </row>
    <row r="52">
      <c r="A52" s="6" t="str">
        <f>'02-variable-info'!A52</f>
        <v>01-04-pregnancy-history.csv</v>
      </c>
      <c r="B52" s="6" t="str">
        <f>'02-variable-info'!B52</f>
        <v>numFetus</v>
      </c>
      <c r="C52" s="6" t="str">
        <f>'02-variable-info'!M52</f>
        <v>int</v>
      </c>
      <c r="D52" s="6" t="str">
        <f>'02-variable-info'!H52</f>
        <v>number</v>
      </c>
    </row>
    <row r="53">
      <c r="A53" s="6" t="str">
        <f>'02-variable-info'!A53</f>
        <v>01-04-pregnancy-history.csv</v>
      </c>
      <c r="B53" s="6" t="str">
        <f>'02-variable-info'!B53</f>
        <v>prenatalCare</v>
      </c>
      <c r="C53" s="6" t="str">
        <f>'02-variable-info'!M53</f>
        <v>bool</v>
      </c>
      <c r="D53" s="6" t="str">
        <f>'02-variable-info'!H53</f>
        <v>boolean</v>
      </c>
    </row>
    <row r="54">
      <c r="A54" s="6" t="str">
        <f>'02-variable-info'!A54</f>
        <v>01-04-pregnancy-history.csv</v>
      </c>
      <c r="B54" s="6" t="str">
        <f>'02-variable-info'!B54</f>
        <v>hypertensionEclampsia</v>
      </c>
      <c r="C54" s="6" t="str">
        <f>'02-variable-info'!M54</f>
        <v>bool</v>
      </c>
      <c r="D54" s="6" t="str">
        <f>'02-variable-info'!H54</f>
        <v>boolean</v>
      </c>
    </row>
    <row r="55">
      <c r="A55" s="6" t="str">
        <f>'02-variable-info'!A55</f>
        <v>01-04-pregnancy-history.csv</v>
      </c>
      <c r="B55" s="6" t="str">
        <f>'02-variable-info'!B55</f>
        <v>antepartumHemorrhage</v>
      </c>
      <c r="C55" s="6" t="str">
        <f>'02-variable-info'!M55</f>
        <v>bool</v>
      </c>
      <c r="D55" s="6" t="str">
        <f>'02-variable-info'!H55</f>
        <v>boolean</v>
      </c>
    </row>
    <row r="56">
      <c r="A56" s="6" t="str">
        <f>'02-variable-info'!A56</f>
        <v>01-04-pregnancy-history.csv</v>
      </c>
      <c r="B56" s="6" t="str">
        <f>'02-variable-info'!B56</f>
        <v>thyroidMalfunction</v>
      </c>
      <c r="C56" s="6" t="str">
        <f>'02-variable-info'!M56</f>
        <v>bool</v>
      </c>
      <c r="D56" s="6" t="str">
        <f>'02-variable-info'!H56</f>
        <v>boolean</v>
      </c>
    </row>
    <row r="57">
      <c r="A57" s="6" t="str">
        <f>'02-variable-info'!A57</f>
        <v>01-04-pregnancy-history.csv</v>
      </c>
      <c r="B57" s="6" t="str">
        <f>'02-variable-info'!B57</f>
        <v>diabetes</v>
      </c>
      <c r="C57" s="6" t="str">
        <f>'02-variable-info'!M57</f>
        <v>bool</v>
      </c>
      <c r="D57" s="6" t="str">
        <f>'02-variable-info'!H57</f>
        <v>boolean</v>
      </c>
    </row>
    <row r="58">
      <c r="A58" s="6" t="str">
        <f>'02-variable-info'!A58</f>
        <v>01-05-labor-delivery.csv</v>
      </c>
      <c r="B58" s="6" t="str">
        <f>'02-variable-info'!B58</f>
        <v>maternalAdmissionDate</v>
      </c>
      <c r="C58" s="6" t="str">
        <f>'02-variable-info'!M58</f>
        <v>date</v>
      </c>
      <c r="D58" s="6" t="str">
        <f>'02-variable-info'!H58</f>
        <v>date</v>
      </c>
    </row>
    <row r="59">
      <c r="A59" s="6" t="str">
        <f>'02-variable-info'!A59</f>
        <v>01-05-labor-delivery.csv</v>
      </c>
      <c r="B59" s="6" t="str">
        <f>'02-variable-info'!B59</f>
        <v>maternalAdmissionTime</v>
      </c>
      <c r="C59" s="6" t="str">
        <f>'02-variable-info'!M59</f>
        <v>time</v>
      </c>
      <c r="D59" s="6" t="str">
        <f>'02-variable-info'!H59</f>
        <v>time</v>
      </c>
    </row>
    <row r="60">
      <c r="A60" s="6" t="str">
        <f>'02-variable-info'!A60</f>
        <v>01-05-labor-delivery.csv</v>
      </c>
      <c r="B60" s="6" t="str">
        <f>'02-variable-info'!B60</f>
        <v>ruptureDate</v>
      </c>
      <c r="C60" s="6" t="str">
        <f>'02-variable-info'!M60</f>
        <v>date</v>
      </c>
      <c r="D60" s="6" t="str">
        <f>'02-variable-info'!H60</f>
        <v>date</v>
      </c>
    </row>
    <row r="61">
      <c r="A61" s="6" t="str">
        <f>'02-variable-info'!A61</f>
        <v>01-05-labor-delivery.csv</v>
      </c>
      <c r="B61" s="6" t="str">
        <f>'02-variable-info'!B61</f>
        <v>ruptureTime</v>
      </c>
      <c r="C61" s="6" t="str">
        <f>'02-variable-info'!M61</f>
        <v>time</v>
      </c>
      <c r="D61" s="6" t="str">
        <f>'02-variable-info'!H61</f>
        <v>time</v>
      </c>
    </row>
    <row r="62">
      <c r="A62" s="6" t="str">
        <f>'02-variable-info'!A62</f>
        <v>01-05-labor-delivery.csv</v>
      </c>
      <c r="B62" s="6" t="str">
        <f>'02-variable-info'!B62</f>
        <v>ruptureGreater18Hr</v>
      </c>
      <c r="C62" s="6" t="str">
        <f>'02-variable-info'!M62</f>
        <v>bool</v>
      </c>
      <c r="D62" s="6" t="str">
        <f>'02-variable-info'!H62</f>
        <v>boolean</v>
      </c>
    </row>
    <row r="63">
      <c r="A63" s="6" t="str">
        <f>'02-variable-info'!A63</f>
        <v>01-05-labor-delivery.csv</v>
      </c>
      <c r="B63" s="6" t="str">
        <f>'02-variable-info'!B63</f>
        <v>ruptureBeforeDelivery</v>
      </c>
      <c r="C63" s="6" t="str">
        <f>'02-variable-info'!M63</f>
        <v>bool</v>
      </c>
      <c r="D63" s="6" t="str">
        <f>'02-variable-info'!H63</f>
        <v>boolean</v>
      </c>
    </row>
    <row r="64">
      <c r="A64" s="6" t="str">
        <f>'02-variable-info'!A64</f>
        <v>01-05-labor-delivery.csv</v>
      </c>
      <c r="B64" s="6" t="str">
        <f>'02-variable-info'!B64</f>
        <v>labor</v>
      </c>
      <c r="C64" s="6" t="str">
        <f>'02-variable-info'!M64</f>
        <v>bool</v>
      </c>
      <c r="D64" s="6" t="str">
        <f>'02-variable-info'!H64</f>
        <v>boolean</v>
      </c>
    </row>
    <row r="65">
      <c r="A65" s="6" t="str">
        <f>'02-variable-info'!A65</f>
        <v>01-05-labor-delivery.csv</v>
      </c>
      <c r="B65" s="6" t="str">
        <f>'02-variable-info'!B65</f>
        <v>laborOnsetDate</v>
      </c>
      <c r="C65" s="6" t="str">
        <f>'02-variable-info'!M65</f>
        <v>date</v>
      </c>
      <c r="D65" s="6" t="str">
        <f>'02-variable-info'!H65</f>
        <v>date</v>
      </c>
    </row>
    <row r="66">
      <c r="A66" s="6" t="str">
        <f>'02-variable-info'!A66</f>
        <v>01-05-labor-delivery.csv</v>
      </c>
      <c r="B66" s="6" t="str">
        <f>'02-variable-info'!B66</f>
        <v>laborOnsetTime</v>
      </c>
      <c r="C66" s="6" t="str">
        <f>'02-variable-info'!M66</f>
        <v>time</v>
      </c>
      <c r="D66" s="6" t="str">
        <f>'02-variable-info'!H66</f>
        <v>time</v>
      </c>
    </row>
    <row r="67">
      <c r="A67" s="6" t="str">
        <f>'02-variable-info'!A67</f>
        <v>01-05-labor-delivery.csv</v>
      </c>
      <c r="B67" s="6" t="str">
        <f>'02-variable-info'!B67</f>
        <v>deliveryMode</v>
      </c>
      <c r="C67" s="6" t="str">
        <f>'02-variable-info'!M67</f>
        <v>deliveryMode</v>
      </c>
      <c r="D67" s="6" t="str">
        <f>'02-variable-info'!H67</f>
        <v>nomial</v>
      </c>
    </row>
    <row r="68">
      <c r="A68" s="6" t="str">
        <f>'02-variable-info'!A68</f>
        <v>01-05-labor-delivery.csv</v>
      </c>
      <c r="B68" s="6" t="str">
        <f>'02-variable-info'!B68</f>
        <v>fetalDecelerate</v>
      </c>
      <c r="C68" s="6" t="str">
        <f>'02-variable-info'!M68</f>
        <v>bool</v>
      </c>
      <c r="D68" s="6" t="str">
        <f>'02-variable-info'!H68</f>
        <v>boolean</v>
      </c>
    </row>
    <row r="69">
      <c r="A69" s="6" t="str">
        <f>'02-variable-info'!A69</f>
        <v>01-05-labor-delivery.csv</v>
      </c>
      <c r="B69" s="6" t="str">
        <f>'02-variable-info'!B69</f>
        <v>cordMishap</v>
      </c>
      <c r="C69" s="6" t="str">
        <f>'02-variable-info'!M69</f>
        <v>bool</v>
      </c>
      <c r="D69" s="6" t="str">
        <f>'02-variable-info'!H69</f>
        <v>boolean</v>
      </c>
    </row>
    <row r="70">
      <c r="A70" s="6" t="str">
        <f>'02-variable-info'!A70</f>
        <v>01-05-labor-delivery.csv</v>
      </c>
      <c r="B70" s="6" t="str">
        <f>'02-variable-info'!B70</f>
        <v>uterineRupture</v>
      </c>
      <c r="C70" s="6" t="str">
        <f>'02-variable-info'!M70</f>
        <v>bool</v>
      </c>
      <c r="D70" s="6" t="str">
        <f>'02-variable-info'!H70</f>
        <v>boolean</v>
      </c>
    </row>
    <row r="71">
      <c r="A71" s="6" t="str">
        <f>'02-variable-info'!A71</f>
        <v>01-05-labor-delivery.csv</v>
      </c>
      <c r="B71" s="6" t="str">
        <f>'02-variable-info'!B71</f>
        <v>shoulderDystocia</v>
      </c>
      <c r="C71" s="6" t="str">
        <f>'02-variable-info'!M71</f>
        <v>bool</v>
      </c>
      <c r="D71" s="6" t="str">
        <f>'02-variable-info'!H71</f>
        <v>boolean</v>
      </c>
    </row>
    <row r="72">
      <c r="A72" s="6" t="str">
        <f>'02-variable-info'!A72</f>
        <v>01-05-labor-delivery.csv</v>
      </c>
      <c r="B72" s="6" t="str">
        <f>'02-variable-info'!B72</f>
        <v>placentalProblem</v>
      </c>
      <c r="C72" s="6" t="str">
        <f>'02-variable-info'!M72</f>
        <v>bool</v>
      </c>
      <c r="D72" s="6" t="str">
        <f>'02-variable-info'!H72</f>
        <v>boolean</v>
      </c>
    </row>
    <row r="73">
      <c r="A73" s="6" t="str">
        <f>'02-variable-info'!A73</f>
        <v>01-05-labor-delivery.csv</v>
      </c>
      <c r="B73" s="6" t="str">
        <f>'02-variable-info'!B73</f>
        <v>maternalHemorrhage</v>
      </c>
      <c r="C73" s="6" t="str">
        <f>'02-variable-info'!M73</f>
        <v>bool</v>
      </c>
      <c r="D73" s="6" t="str">
        <f>'02-variable-info'!H73</f>
        <v>boolean</v>
      </c>
    </row>
    <row r="74">
      <c r="A74" s="6" t="str">
        <f>'02-variable-info'!A74</f>
        <v>01-05-labor-delivery.csv</v>
      </c>
      <c r="B74" s="6" t="str">
        <f>'02-variable-info'!B74</f>
        <v>maternalTrauma</v>
      </c>
      <c r="C74" s="6" t="str">
        <f>'02-variable-info'!M74</f>
        <v>bool</v>
      </c>
      <c r="D74" s="6" t="str">
        <f>'02-variable-info'!H74</f>
        <v>boolean</v>
      </c>
    </row>
    <row r="75">
      <c r="A75" s="6" t="str">
        <f>'02-variable-info'!A75</f>
        <v>01-05-labor-delivery.csv</v>
      </c>
      <c r="B75" s="6" t="str">
        <f>'02-variable-info'!B75</f>
        <v>maternalCardioRespiratoryArrest</v>
      </c>
      <c r="C75" s="6" t="str">
        <f>'02-variable-info'!M75</f>
        <v>bool</v>
      </c>
      <c r="D75" s="6" t="str">
        <f>'02-variable-info'!H75</f>
        <v>boolean</v>
      </c>
    </row>
    <row r="76">
      <c r="A76" s="6" t="str">
        <f>'02-variable-info'!A76</f>
        <v>01-05-labor-delivery.csv</v>
      </c>
      <c r="B76" s="6" t="str">
        <f>'02-variable-info'!B76</f>
        <v>maternalSeizure</v>
      </c>
      <c r="C76" s="6" t="str">
        <f>'02-variable-info'!M76</f>
        <v>bool</v>
      </c>
      <c r="D76" s="6" t="str">
        <f>'02-variable-info'!H76</f>
        <v>boolean</v>
      </c>
    </row>
    <row r="77">
      <c r="A77" s="6" t="str">
        <f>'02-variable-info'!A77</f>
        <v>01-05-labor-delivery.csv</v>
      </c>
      <c r="B77" s="6" t="str">
        <f>'02-variable-info'!B77</f>
        <v>perinatalSentinelEvent</v>
      </c>
      <c r="C77" s="6" t="str">
        <f>'02-variable-info'!M77</f>
        <v>bool</v>
      </c>
      <c r="D77" s="6" t="str">
        <f>'02-variable-info'!H77</f>
        <v>boolean</v>
      </c>
    </row>
    <row r="78">
      <c r="A78" s="6" t="str">
        <f>'02-variable-info'!A78</f>
        <v>01-05-labor-delivery.csv</v>
      </c>
      <c r="B78" s="6" t="str">
        <f>'02-variable-info'!B78</f>
        <v>pyrexiaGreater37p6C</v>
      </c>
      <c r="C78" s="6" t="str">
        <f>'02-variable-info'!M78</f>
        <v>bool</v>
      </c>
      <c r="D78" s="6" t="str">
        <f>'02-variable-info'!H78</f>
        <v>boolean</v>
      </c>
    </row>
    <row r="79">
      <c r="A79" s="6" t="str">
        <f>'02-variable-info'!A79</f>
        <v>01-05-labor-delivery.csv</v>
      </c>
      <c r="B79" s="6" t="str">
        <f>'02-variable-info'!B79</f>
        <v>chorioamnionitis</v>
      </c>
      <c r="C79" s="6" t="str">
        <f>'02-variable-info'!M79</f>
        <v>bool</v>
      </c>
      <c r="D79" s="6" t="str">
        <f>'02-variable-info'!H79</f>
        <v>boolean</v>
      </c>
    </row>
    <row r="80">
      <c r="A80" s="6" t="str">
        <f>'02-variable-info'!A80</f>
        <v>01-05-labor-delivery.csv</v>
      </c>
      <c r="B80" s="6" t="str">
        <f>'02-variable-info'!B80</f>
        <v>placentalPathologyPerformed</v>
      </c>
      <c r="C80" s="6" t="str">
        <f>'02-variable-info'!M80</f>
        <v>bool</v>
      </c>
      <c r="D80" s="6" t="str">
        <f>'02-variable-info'!H80</f>
        <v>boolean</v>
      </c>
    </row>
    <row r="81">
      <c r="A81" s="6" t="str">
        <f>'02-variable-info'!A81</f>
        <v>01-05-labor-delivery.csv</v>
      </c>
      <c r="B81" s="6" t="str">
        <f>'02-variable-info'!B81</f>
        <v>histologicChorioamionitis</v>
      </c>
      <c r="C81" s="6" t="str">
        <f>'02-variable-info'!M81</f>
        <v>bool</v>
      </c>
      <c r="D81" s="6" t="str">
        <f>'02-variable-info'!H81</f>
        <v>boolean</v>
      </c>
    </row>
    <row r="82">
      <c r="A82" s="6" t="str">
        <f>'02-variable-info'!A82</f>
        <v>01-05-labor-delivery.csv</v>
      </c>
      <c r="B82" s="6" t="str">
        <f>'02-variable-info'!B82</f>
        <v>laborAntibiotics</v>
      </c>
      <c r="C82" s="6" t="str">
        <f>'02-variable-info'!M82</f>
        <v>bool</v>
      </c>
      <c r="D82" s="6" t="str">
        <f>'02-variable-info'!H82</f>
        <v>boolean</v>
      </c>
    </row>
    <row r="83">
      <c r="A83" s="6" t="str">
        <f>'02-variable-info'!A83</f>
        <v>01-05-labor-delivery.csv</v>
      </c>
      <c r="B83" s="6" t="str">
        <f>'02-variable-info'!B83</f>
        <v>laborAntibioticsCode1</v>
      </c>
      <c r="C83" s="6" t="str">
        <f>'02-variable-info'!M83</f>
        <v>antibiotics</v>
      </c>
      <c r="D83" s="6" t="str">
        <f>'02-variable-info'!H83</f>
        <v>nomial</v>
      </c>
    </row>
    <row r="84">
      <c r="A84" s="6" t="str">
        <f>'02-variable-info'!A84</f>
        <v>01-05-labor-delivery.csv</v>
      </c>
      <c r="B84" s="6" t="str">
        <f>'02-variable-info'!B84</f>
        <v>emergencyCSection</v>
      </c>
      <c r="C84" s="6" t="str">
        <f>'02-variable-info'!M84</f>
        <v>bool</v>
      </c>
      <c r="D84" s="6" t="str">
        <f>'02-variable-info'!H84</f>
        <v>boolean</v>
      </c>
    </row>
    <row r="85">
      <c r="A85" s="6" t="str">
        <f>'02-variable-info'!A85</f>
        <v>01-06-birth.csv</v>
      </c>
      <c r="B85" s="6" t="str">
        <f>'02-variable-info'!B85</f>
        <v>encephalopathyLevel</v>
      </c>
      <c r="C85" s="6" t="str">
        <f>'02-variable-info'!M85</f>
        <v>encephalopathyLevel</v>
      </c>
      <c r="D85" s="6" t="str">
        <f>'02-variable-info'!H85</f>
        <v>ordinal</v>
      </c>
    </row>
    <row r="86">
      <c r="A86" s="6" t="str">
        <f>'02-variable-info'!A86</f>
        <v>01-06-birth.csv</v>
      </c>
      <c r="B86" s="6" t="str">
        <f>'02-variable-info'!B86</f>
        <v>randomInfantAge</v>
      </c>
      <c r="C86" s="6" t="str">
        <f>'02-variable-info'!M86</f>
        <v>infantAge</v>
      </c>
      <c r="D86" s="6" t="str">
        <f>'02-variable-info'!H86</f>
        <v>ordinal</v>
      </c>
    </row>
    <row r="87">
      <c r="A87" s="6" t="str">
        <f>'02-variable-info'!A87</f>
        <v>01-06-birth.csv</v>
      </c>
      <c r="B87" s="6" t="str">
        <f>'02-variable-info'!B87</f>
        <v>birthWeight_g</v>
      </c>
      <c r="C87" s="6" t="str">
        <f>'02-variable-info'!M87</f>
        <v>float</v>
      </c>
      <c r="D87" s="6" t="str">
        <f>'02-variable-info'!H87</f>
        <v>number</v>
      </c>
    </row>
    <row r="88">
      <c r="A88" s="6" t="str">
        <f>'02-variable-info'!A88</f>
        <v>01-06-birth.csv</v>
      </c>
      <c r="B88" s="6" t="str">
        <f>'02-variable-info'!B88</f>
        <v>birthLength_cm</v>
      </c>
      <c r="C88" s="6" t="str">
        <f>'02-variable-info'!M88</f>
        <v>float</v>
      </c>
      <c r="D88" s="6" t="str">
        <f>'02-variable-info'!H88</f>
        <v>number</v>
      </c>
    </row>
    <row r="89">
      <c r="A89" s="6" t="str">
        <f>'02-variable-info'!A89</f>
        <v>01-06-birth.csv</v>
      </c>
      <c r="B89" s="6" t="str">
        <f>'02-variable-info'!B89</f>
        <v>birthHeadCircumference_cm</v>
      </c>
      <c r="C89" s="6" t="str">
        <f>'02-variable-info'!M89</f>
        <v>float</v>
      </c>
      <c r="D89" s="6" t="str">
        <f>'02-variable-info'!H89</f>
        <v>number</v>
      </c>
    </row>
    <row r="90">
      <c r="A90" s="6" t="str">
        <f>'02-variable-info'!A90</f>
        <v>01-06-birth.csv</v>
      </c>
      <c r="B90" s="6" t="str">
        <f>'02-variable-info'!B90</f>
        <v>birthGestationalAge_week</v>
      </c>
      <c r="C90" s="6" t="str">
        <f>'02-variable-info'!M90</f>
        <v>int</v>
      </c>
      <c r="D90" s="6" t="str">
        <f>'02-variable-info'!H90</f>
        <v>number</v>
      </c>
    </row>
    <row r="91">
      <c r="A91" s="6" t="str">
        <f>'02-variable-info'!A91</f>
        <v>01-06-birth.csv</v>
      </c>
      <c r="B91" s="6" t="str">
        <f>'02-variable-info'!B91</f>
        <v>infantSex</v>
      </c>
      <c r="C91" s="6" t="str">
        <f>'02-variable-info'!M91</f>
        <v>infantSex</v>
      </c>
      <c r="D91" s="6" t="str">
        <f>'02-variable-info'!H91</f>
        <v>ordinal</v>
      </c>
    </row>
    <row r="92">
      <c r="A92" s="6" t="str">
        <f>'02-variable-info'!A92</f>
        <v>01-06-birth.csv</v>
      </c>
      <c r="B92" s="6" t="str">
        <f>'02-variable-info'!B92</f>
        <v>maleSex</v>
      </c>
      <c r="C92" s="6" t="str">
        <f>'02-variable-info'!M92</f>
        <v>bool</v>
      </c>
      <c r="D92" s="6" t="str">
        <f>'02-variable-info'!H92</f>
        <v>boolean</v>
      </c>
    </row>
    <row r="93">
      <c r="A93" s="6" t="str">
        <f>'02-variable-info'!A93</f>
        <v>01-06-birth.csv</v>
      </c>
      <c r="B93" s="6" t="str">
        <f>'02-variable-info'!B93</f>
        <v>infantOutborn</v>
      </c>
      <c r="C93" s="6" t="str">
        <f>'02-variable-info'!M93</f>
        <v>bool</v>
      </c>
      <c r="D93" s="6" t="str">
        <f>'02-variable-info'!H93</f>
        <v>boolean</v>
      </c>
    </row>
    <row r="94">
      <c r="A94" s="6" t="str">
        <f>'02-variable-info'!A94</f>
        <v>01-06-birth.csv</v>
      </c>
      <c r="B94" s="6" t="str">
        <f>'02-variable-info'!B94</f>
        <v>outbornInHospital</v>
      </c>
      <c r="C94" s="6" t="str">
        <f>'02-variable-info'!M94</f>
        <v>bool</v>
      </c>
      <c r="D94" s="6" t="str">
        <f>'02-variable-info'!H94</f>
        <v>boolean</v>
      </c>
    </row>
    <row r="95">
      <c r="A95" s="6" t="str">
        <f>'02-variable-info'!A95</f>
        <v>01-06-birth.csv</v>
      </c>
      <c r="B95" s="6" t="str">
        <f>'02-variable-info'!B95</f>
        <v>outbornOutHospital</v>
      </c>
      <c r="C95" s="6" t="str">
        <f>'02-variable-info'!M95</f>
        <v>bool</v>
      </c>
      <c r="D95" s="6" t="str">
        <f>'02-variable-info'!H95</f>
        <v>boolean</v>
      </c>
    </row>
    <row r="96">
      <c r="A96" s="6" t="str">
        <f>'02-variable-info'!A96</f>
        <v>01-06-birth.csv</v>
      </c>
      <c r="B96" s="6" t="str">
        <f>'02-variable-info'!B96</f>
        <v>neonateAdmissionDate</v>
      </c>
      <c r="C96" s="6" t="str">
        <f>'02-variable-info'!M96</f>
        <v>date</v>
      </c>
      <c r="D96" s="6" t="str">
        <f>'02-variable-info'!H96</f>
        <v>date</v>
      </c>
    </row>
    <row r="97">
      <c r="A97" s="6" t="str">
        <f>'02-variable-info'!A97</f>
        <v>01-06-birth.csv</v>
      </c>
      <c r="B97" s="6" t="str">
        <f>'02-variable-info'!B97</f>
        <v>neonateAdmissionTime</v>
      </c>
      <c r="C97" s="6" t="str">
        <f>'02-variable-info'!M97</f>
        <v>time</v>
      </c>
      <c r="D97" s="6" t="str">
        <f>'02-variable-info'!H97</f>
        <v>time</v>
      </c>
    </row>
    <row r="98">
      <c r="A98" s="6" t="str">
        <f>'02-variable-info'!A98</f>
        <v>01-06-birth.csv</v>
      </c>
      <c r="B98" s="6" t="str">
        <f>'02-variable-info'!B98</f>
        <v>Apgar1min</v>
      </c>
      <c r="C98" s="6" t="str">
        <f>'02-variable-info'!M98</f>
        <v>int</v>
      </c>
      <c r="D98" s="6" t="str">
        <f>'02-variable-info'!H98</f>
        <v>number</v>
      </c>
    </row>
    <row r="99">
      <c r="A99" s="6" t="str">
        <f>'02-variable-info'!A99</f>
        <v>01-06-birth.csv</v>
      </c>
      <c r="B99" s="6" t="str">
        <f>'02-variable-info'!B99</f>
        <v>Apgar5min</v>
      </c>
      <c r="C99" s="6" t="str">
        <f>'02-variable-info'!M99</f>
        <v>int</v>
      </c>
      <c r="D99" s="6" t="str">
        <f>'02-variable-info'!H99</f>
        <v>number</v>
      </c>
    </row>
    <row r="100">
      <c r="A100" s="6" t="str">
        <f>'02-variable-info'!A100</f>
        <v>01-06-birth.csv</v>
      </c>
      <c r="B100" s="6" t="str">
        <f>'02-variable-info'!B100</f>
        <v>Apgar10min</v>
      </c>
      <c r="C100" s="6" t="str">
        <f>'02-variable-info'!M100</f>
        <v>int</v>
      </c>
      <c r="D100" s="6" t="str">
        <f>'02-variable-info'!H100</f>
        <v>number</v>
      </c>
    </row>
    <row r="101">
      <c r="A101" s="6" t="str">
        <f>'02-variable-info'!A101</f>
        <v>01-06-birth.csv</v>
      </c>
      <c r="B101" s="6" t="str">
        <f>'02-variable-info'!B101</f>
        <v>Apgar15min</v>
      </c>
      <c r="C101" s="6" t="str">
        <f>'02-variable-info'!M101</f>
        <v>int</v>
      </c>
      <c r="D101" s="6" t="str">
        <f>'02-variable-info'!H101</f>
        <v>number</v>
      </c>
    </row>
    <row r="102">
      <c r="A102" s="6" t="str">
        <f>'02-variable-info'!A102</f>
        <v>01-06-birth.csv</v>
      </c>
      <c r="B102" s="6" t="str">
        <f>'02-variable-info'!B102</f>
        <v>Apgar20min</v>
      </c>
      <c r="C102" s="6" t="str">
        <f>'02-variable-info'!M102</f>
        <v>int</v>
      </c>
      <c r="D102" s="6" t="str">
        <f>'02-variable-info'!H102</f>
        <v>number</v>
      </c>
    </row>
    <row r="103">
      <c r="A103" s="6" t="str">
        <f>'02-variable-info'!A103</f>
        <v>01-06-birth.csv</v>
      </c>
      <c r="B103" s="6" t="str">
        <f>'02-variable-info'!B103</f>
        <v>deliveryResuscitation</v>
      </c>
      <c r="C103" s="6" t="str">
        <f>'02-variable-info'!M103</f>
        <v>bool</v>
      </c>
      <c r="D103" s="6" t="str">
        <f>'02-variable-info'!H103</f>
        <v>boolean</v>
      </c>
    </row>
    <row r="104">
      <c r="A104" s="6" t="str">
        <f>'02-variable-info'!A104</f>
        <v>01-06-birth.csv</v>
      </c>
      <c r="B104" s="6" t="str">
        <f>'02-variable-info'!B104</f>
        <v>deliveryOxygen</v>
      </c>
      <c r="C104" s="6" t="str">
        <f>'02-variable-info'!M104</f>
        <v>bool</v>
      </c>
      <c r="D104" s="6" t="str">
        <f>'02-variable-info'!H104</f>
        <v>boolean</v>
      </c>
    </row>
    <row r="105">
      <c r="A105" s="6" t="str">
        <f>'02-variable-info'!A105</f>
        <v>01-06-birth.csv</v>
      </c>
      <c r="B105" s="6" t="str">
        <f>'02-variable-info'!B105</f>
        <v>deliveryBaggingAndMask</v>
      </c>
      <c r="C105" s="6" t="str">
        <f>'02-variable-info'!M105</f>
        <v>bool</v>
      </c>
      <c r="D105" s="6" t="str">
        <f>'02-variable-info'!H105</f>
        <v>boolean</v>
      </c>
    </row>
    <row r="106">
      <c r="A106" s="6" t="str">
        <f>'02-variable-info'!A106</f>
        <v>01-06-birth.csv</v>
      </c>
      <c r="B106" s="6" t="str">
        <f>'02-variable-info'!B106</f>
        <v>deliveryChestCompression</v>
      </c>
      <c r="C106" s="6" t="str">
        <f>'02-variable-info'!M106</f>
        <v>bool</v>
      </c>
      <c r="D106" s="6" t="str">
        <f>'02-variable-info'!H106</f>
        <v>boolean</v>
      </c>
    </row>
    <row r="107">
      <c r="A107" s="6" t="str">
        <f>'02-variable-info'!A107</f>
        <v>01-06-birth.csv</v>
      </c>
      <c r="B107" s="6" t="str">
        <f>'02-variable-info'!B107</f>
        <v>deliveryIntubation</v>
      </c>
      <c r="C107" s="6" t="str">
        <f>'02-variable-info'!M107</f>
        <v>bool</v>
      </c>
      <c r="D107" s="6" t="str">
        <f>'02-variable-info'!H107</f>
        <v>boolean</v>
      </c>
    </row>
    <row r="108">
      <c r="A108" s="6" t="str">
        <f>'02-variable-info'!A108</f>
        <v>01-06-birth.csv</v>
      </c>
      <c r="B108" s="6" t="str">
        <f>'02-variable-info'!B108</f>
        <v>deliveryDrug</v>
      </c>
      <c r="C108" s="6" t="str">
        <f>'02-variable-info'!M108</f>
        <v>bool</v>
      </c>
      <c r="D108" s="6" t="str">
        <f>'02-variable-info'!H108</f>
        <v>boolean</v>
      </c>
    </row>
    <row r="109">
      <c r="A109" s="6" t="str">
        <f>'02-variable-info'!A109</f>
        <v>01-06-birth.csv</v>
      </c>
      <c r="B109" s="6" t="str">
        <f>'02-variable-info'!B109</f>
        <v>at10MinContinueResuscitation</v>
      </c>
      <c r="C109" s="6" t="str">
        <f>'02-variable-info'!M109</f>
        <v>bool</v>
      </c>
      <c r="D109" s="6" t="str">
        <f>'02-variable-info'!H109</f>
        <v>boolean</v>
      </c>
    </row>
    <row r="110">
      <c r="A110" s="6" t="str">
        <f>'02-variable-info'!A110</f>
        <v>01-06-birth.csv</v>
      </c>
      <c r="B110" s="6" t="str">
        <f>'02-variable-info'!B110</f>
        <v>at10MinOxygen</v>
      </c>
      <c r="C110" s="6" t="str">
        <f>'02-variable-info'!M110</f>
        <v>bool</v>
      </c>
      <c r="D110" s="6" t="str">
        <f>'02-variable-info'!H110</f>
        <v>boolean</v>
      </c>
    </row>
    <row r="111">
      <c r="A111" s="6" t="str">
        <f>'02-variable-info'!A111</f>
        <v>01-06-birth.csv</v>
      </c>
      <c r="B111" s="6" t="str">
        <f>'02-variable-info'!B111</f>
        <v>at10MinBaggingAndMask</v>
      </c>
      <c r="C111" s="6" t="str">
        <f>'02-variable-info'!M111</f>
        <v>bool</v>
      </c>
      <c r="D111" s="6" t="str">
        <f>'02-variable-info'!H111</f>
        <v>boolean</v>
      </c>
    </row>
    <row r="112">
      <c r="A112" s="6" t="str">
        <f>'02-variable-info'!A112</f>
        <v>01-06-birth.csv</v>
      </c>
      <c r="B112" s="6" t="str">
        <f>'02-variable-info'!B112</f>
        <v>at10MinChestCompression</v>
      </c>
      <c r="C112" s="6" t="str">
        <f>'02-variable-info'!M112</f>
        <v>bool</v>
      </c>
      <c r="D112" s="6" t="str">
        <f>'02-variable-info'!H112</f>
        <v>boolean</v>
      </c>
    </row>
    <row r="113">
      <c r="A113" s="6" t="str">
        <f>'02-variable-info'!A113</f>
        <v>01-06-birth.csv</v>
      </c>
      <c r="B113" s="6" t="str">
        <f>'02-variable-info'!B113</f>
        <v>at10MinIntubation</v>
      </c>
      <c r="C113" s="6" t="str">
        <f>'02-variable-info'!M113</f>
        <v>bool</v>
      </c>
      <c r="D113" s="6" t="str">
        <f>'02-variable-info'!H113</f>
        <v>boolean</v>
      </c>
    </row>
    <row r="114">
      <c r="A114" s="6" t="str">
        <f>'02-variable-info'!A114</f>
        <v>01-06-birth.csv</v>
      </c>
      <c r="B114" s="6" t="str">
        <f>'02-variable-info'!B114</f>
        <v>at10MinDrug</v>
      </c>
      <c r="C114" s="6" t="str">
        <f>'02-variable-info'!M114</f>
        <v>bool</v>
      </c>
      <c r="D114" s="6" t="str">
        <f>'02-variable-info'!H114</f>
        <v>boolean</v>
      </c>
    </row>
    <row r="115">
      <c r="A115" s="6" t="str">
        <f>'02-variable-info'!A115</f>
        <v>01-06-birth.csv</v>
      </c>
      <c r="B115" s="6" t="str">
        <f>'02-variable-info'!B115</f>
        <v>spontaneousRespirationTime</v>
      </c>
      <c r="C115" s="6" t="str">
        <f>'02-variable-info'!M115</f>
        <v>spontaneousRespirationTime</v>
      </c>
      <c r="D115" s="6" t="str">
        <f>'02-variable-info'!H115</f>
        <v>ordinal</v>
      </c>
    </row>
    <row r="116">
      <c r="A116" s="6" t="str">
        <f>'02-variable-info'!A116</f>
        <v>01-06-birth.csv</v>
      </c>
      <c r="B116" s="6" t="str">
        <f>'02-variable-info'!B116</f>
        <v>cordBloodGas</v>
      </c>
      <c r="C116" s="6" t="str">
        <f>'02-variable-info'!M116</f>
        <v>bool</v>
      </c>
      <c r="D116" s="6" t="str">
        <f>'02-variable-info'!H116</f>
        <v>boolean</v>
      </c>
    </row>
    <row r="117">
      <c r="A117" s="6" t="str">
        <f>'02-variable-info'!A117</f>
        <v>01-06-birth.csv</v>
      </c>
      <c r="B117" s="6" t="str">
        <f>'02-variable-info'!B117</f>
        <v>cordBloodGasSrc</v>
      </c>
      <c r="C117" s="6" t="str">
        <f>'02-variable-info'!M117</f>
        <v>cordBloodGasSrc</v>
      </c>
      <c r="D117" s="6" t="str">
        <f>'02-variable-info'!H117</f>
        <v>nomial</v>
      </c>
    </row>
    <row r="118">
      <c r="A118" s="6" t="str">
        <f>'02-variable-info'!A118</f>
        <v>01-06-birth.csv</v>
      </c>
      <c r="B118" s="6" t="str">
        <f>'02-variable-info'!B118</f>
        <v>cordBloodGasPH</v>
      </c>
      <c r="C118" s="6" t="str">
        <f>'02-variable-info'!M118</f>
        <v>float</v>
      </c>
      <c r="D118" s="6" t="str">
        <f>'02-variable-info'!H118</f>
        <v>number</v>
      </c>
    </row>
    <row r="119">
      <c r="A119" s="6" t="str">
        <f>'02-variable-info'!A119</f>
        <v>01-06-birth.csv</v>
      </c>
      <c r="B119" s="6" t="str">
        <f>'02-variable-info'!B119</f>
        <v>cordBloodGasPCO2_mmHg</v>
      </c>
      <c r="C119" s="6" t="str">
        <f>'02-variable-info'!M119</f>
        <v>float</v>
      </c>
      <c r="D119" s="6" t="str">
        <f>'02-variable-info'!H119</f>
        <v>number</v>
      </c>
    </row>
    <row r="120">
      <c r="A120" s="6" t="str">
        <f>'02-variable-info'!A120</f>
        <v>01-06-birth.csv</v>
      </c>
      <c r="B120" s="6" t="str">
        <f>'02-variable-info'!B120</f>
        <v>cordBloodGasPO2_mmHg</v>
      </c>
      <c r="C120" s="6" t="str">
        <f>'02-variable-info'!M120</f>
        <v>float</v>
      </c>
      <c r="D120" s="6" t="str">
        <f>'02-variable-info'!H120</f>
        <v>number</v>
      </c>
    </row>
    <row r="121">
      <c r="A121" s="6" t="str">
        <f>'02-variable-info'!A121</f>
        <v>01-06-birth.csv</v>
      </c>
      <c r="B121" s="6" t="str">
        <f>'02-variable-info'!B121</f>
        <v>cordBloodGasHCO3_mEqPerL</v>
      </c>
      <c r="C121" s="6" t="str">
        <f>'02-variable-info'!M121</f>
        <v>float</v>
      </c>
      <c r="D121" s="6" t="str">
        <f>'02-variable-info'!H121</f>
        <v>number</v>
      </c>
    </row>
    <row r="122">
      <c r="A122" s="6" t="str">
        <f>'02-variable-info'!A122</f>
        <v>01-06-birth.csv</v>
      </c>
      <c r="B122" s="6" t="str">
        <f>'02-variable-info'!B122</f>
        <v>cordBloodGasBaseDeficit_mEqPerL</v>
      </c>
      <c r="C122" s="6" t="str">
        <f>'02-variable-info'!M122</f>
        <v>float</v>
      </c>
      <c r="D122" s="6" t="str">
        <f>'02-variable-info'!H122</f>
        <v>number</v>
      </c>
    </row>
    <row r="123">
      <c r="A123" s="6" t="str">
        <f>'02-variable-info'!A123</f>
        <v>01-06-birth.csv</v>
      </c>
      <c r="B123" s="6" t="str">
        <f>'02-variable-info'!B123</f>
        <v>firstPostnatalBloodGas</v>
      </c>
      <c r="C123" s="6" t="str">
        <f>'02-variable-info'!M123</f>
        <v>bool</v>
      </c>
      <c r="D123" s="6" t="str">
        <f>'02-variable-info'!H123</f>
        <v>boolean</v>
      </c>
    </row>
    <row r="124">
      <c r="A124" s="6" t="str">
        <f>'02-variable-info'!A124</f>
        <v>01-06-birth.csv</v>
      </c>
      <c r="B124" s="6" t="str">
        <f>'02-variable-info'!B124</f>
        <v>firstPostnatalBloodGasSrc</v>
      </c>
      <c r="C124" s="6" t="str">
        <f>'02-variable-info'!M124</f>
        <v>bloodGasSrc</v>
      </c>
      <c r="D124" s="6" t="str">
        <f>'02-variable-info'!H124</f>
        <v>nomial</v>
      </c>
    </row>
    <row r="125">
      <c r="A125" s="6" t="str">
        <f>'02-variable-info'!A125</f>
        <v>01-06-birth.csv</v>
      </c>
      <c r="B125" s="6" t="str">
        <f>'02-variable-info'!B125</f>
        <v>firstPostnatalBloodGasDate</v>
      </c>
      <c r="C125" s="6" t="str">
        <f>'02-variable-info'!M125</f>
        <v>date</v>
      </c>
      <c r="D125" s="6" t="str">
        <f>'02-variable-info'!H125</f>
        <v>date</v>
      </c>
    </row>
    <row r="126">
      <c r="A126" s="6" t="str">
        <f>'02-variable-info'!A126</f>
        <v>01-06-birth.csv</v>
      </c>
      <c r="B126" s="6" t="str">
        <f>'02-variable-info'!B126</f>
        <v>firstPostnatalBloodGasTime</v>
      </c>
      <c r="C126" s="6" t="str">
        <f>'02-variable-info'!M126</f>
        <v>time</v>
      </c>
      <c r="D126" s="6" t="str">
        <f>'02-variable-info'!H126</f>
        <v>time</v>
      </c>
    </row>
    <row r="127">
      <c r="A127" s="6" t="str">
        <f>'02-variable-info'!A127</f>
        <v>01-06-birth.csv</v>
      </c>
      <c r="B127" s="6" t="str">
        <f>'02-variable-info'!B127</f>
        <v>firstPostnatalBloodGasPH</v>
      </c>
      <c r="C127" s="6" t="str">
        <f>'02-variable-info'!M127</f>
        <v>float</v>
      </c>
      <c r="D127" s="6" t="str">
        <f>'02-variable-info'!H127</f>
        <v>number</v>
      </c>
    </row>
    <row r="128">
      <c r="A128" s="6" t="str">
        <f>'02-variable-info'!A128</f>
        <v>01-06-birth.csv</v>
      </c>
      <c r="B128" s="6" t="str">
        <f>'02-variable-info'!B128</f>
        <v>firstPostnatalBloodGasPCO2_mmHg</v>
      </c>
      <c r="C128" s="6" t="str">
        <f>'02-variable-info'!M128</f>
        <v>float</v>
      </c>
      <c r="D128" s="6" t="str">
        <f>'02-variable-info'!H128</f>
        <v>number</v>
      </c>
    </row>
    <row r="129">
      <c r="A129" s="6" t="str">
        <f>'02-variable-info'!A129</f>
        <v>01-06-birth.csv</v>
      </c>
      <c r="B129" s="6" t="str">
        <f>'02-variable-info'!B129</f>
        <v>firstPostnatalBloodGasPO2_mmHg</v>
      </c>
      <c r="C129" s="6" t="str">
        <f>'02-variable-info'!M129</f>
        <v>float</v>
      </c>
      <c r="D129" s="6" t="str">
        <f>'02-variable-info'!H129</f>
        <v>number</v>
      </c>
    </row>
    <row r="130">
      <c r="A130" s="6" t="str">
        <f>'02-variable-info'!A130</f>
        <v>01-06-birth.csv</v>
      </c>
      <c r="B130" s="6" t="str">
        <f>'02-variable-info'!B130</f>
        <v>firstPostnatalBloodGasHCO3_mEqPerL</v>
      </c>
      <c r="C130" s="6" t="str">
        <f>'02-variable-info'!M130</f>
        <v>float</v>
      </c>
      <c r="D130" s="6" t="str">
        <f>'02-variable-info'!H130</f>
        <v>number</v>
      </c>
    </row>
    <row r="131">
      <c r="A131" s="6" t="str">
        <f>'02-variable-info'!A131</f>
        <v>01-06-birth.csv</v>
      </c>
      <c r="B131" s="6" t="str">
        <f>'02-variable-info'!B131</f>
        <v>firstPostnatalBloodGasBaseDeficit_mEqPerL</v>
      </c>
      <c r="C131" s="6" t="str">
        <f>'02-variable-info'!M131</f>
        <v>float</v>
      </c>
      <c r="D131" s="6" t="str">
        <f>'02-variable-info'!H131</f>
        <v>number</v>
      </c>
    </row>
    <row r="132">
      <c r="A132" s="6" t="str">
        <f>'02-variable-info'!A132</f>
        <v>01-06-birth.csv</v>
      </c>
      <c r="B132" s="6" t="str">
        <f>'02-variable-info'!B132</f>
        <v>acidosis</v>
      </c>
      <c r="C132" s="6" t="str">
        <f>'02-variable-info'!M132</f>
        <v>bool</v>
      </c>
      <c r="D132" s="6" t="str">
        <f>'02-variable-info'!H132</f>
        <v>boolean</v>
      </c>
    </row>
    <row r="133">
      <c r="A133" s="6" t="str">
        <f>'02-variable-info'!A133</f>
        <v>01-06-birth.csv</v>
      </c>
      <c r="B133" s="6" t="str">
        <f>'02-variable-info'!B133</f>
        <v>Apgar10minLess5</v>
      </c>
      <c r="C133" s="6" t="str">
        <f>'02-variable-info'!M133</f>
        <v>bool</v>
      </c>
      <c r="D133" s="6" t="str">
        <f>'02-variable-info'!H133</f>
        <v>boolean</v>
      </c>
    </row>
    <row r="134">
      <c r="A134" s="6" t="str">
        <f>'02-variable-info'!A134</f>
        <v>01-06-birth.csv</v>
      </c>
      <c r="B134" s="6" t="str">
        <f>'02-variable-info'!B134</f>
        <v>Apgar10minLessEq5</v>
      </c>
      <c r="C134" s="6" t="str">
        <f>'02-variable-info'!M134</f>
        <v>bool</v>
      </c>
      <c r="D134" s="6" t="str">
        <f>'02-variable-info'!H134</f>
        <v>boolean</v>
      </c>
    </row>
    <row r="135">
      <c r="A135" s="6" t="str">
        <f>'02-variable-info'!A135</f>
        <v>01-06-birth.csv</v>
      </c>
      <c r="B135" s="6" t="str">
        <f>'02-variable-info'!B135</f>
        <v>Apgar5minLessEq5</v>
      </c>
      <c r="C135" s="6" t="str">
        <f>'02-variable-info'!M135</f>
        <v>bool</v>
      </c>
      <c r="D135" s="6" t="str">
        <f>'02-variable-info'!H135</f>
        <v>boolean</v>
      </c>
    </row>
    <row r="136">
      <c r="A136" s="6" t="str">
        <f>'02-variable-info'!A136</f>
        <v>01-06-birth.csv</v>
      </c>
      <c r="B136" s="6" t="str">
        <f>'02-variable-info'!B136</f>
        <v>initBloodGasBaseDeficit_mEqPerL</v>
      </c>
      <c r="C136" s="6" t="str">
        <f>'02-variable-info'!M136</f>
        <v>float</v>
      </c>
      <c r="D136" s="6" t="str">
        <f>'02-variable-info'!H136</f>
        <v>number</v>
      </c>
    </row>
    <row r="137">
      <c r="A137" s="6" t="str">
        <f>'02-variable-info'!A137</f>
        <v>01-06-birth.csv</v>
      </c>
      <c r="B137" s="6" t="str">
        <f>'02-variable-info'!B137</f>
        <v>initBloodGasBaseDeficit_mEqPerLSrc</v>
      </c>
      <c r="C137" s="6" t="str">
        <f>'02-variable-info'!M137</f>
        <v>initBloodGasSrc</v>
      </c>
      <c r="D137" s="6" t="str">
        <f>'02-variable-info'!H137</f>
        <v>nomial</v>
      </c>
    </row>
    <row r="138">
      <c r="A138" s="6" t="str">
        <f>'02-variable-info'!A138</f>
        <v>01-06-birth.csv</v>
      </c>
      <c r="B138" s="6" t="str">
        <f>'02-variable-info'!B138</f>
        <v>initBloodGasPH</v>
      </c>
      <c r="C138" s="6" t="str">
        <f>'02-variable-info'!M138</f>
        <v>float</v>
      </c>
      <c r="D138" s="6" t="str">
        <f>'02-variable-info'!H138</f>
        <v>number</v>
      </c>
    </row>
    <row r="139">
      <c r="A139" s="6" t="str">
        <f>'02-variable-info'!A139</f>
        <v>01-06-birth.csv</v>
      </c>
      <c r="B139" s="6" t="str">
        <f>'02-variable-info'!B139</f>
        <v>initBloodGasPHSrc</v>
      </c>
      <c r="C139" s="6" t="str">
        <f>'02-variable-info'!M139</f>
        <v>initBloodGasSrc</v>
      </c>
      <c r="D139" s="6" t="str">
        <f>'02-variable-info'!H139</f>
        <v>nomial</v>
      </c>
    </row>
    <row r="140">
      <c r="A140" s="6" t="str">
        <f>'02-variable-info'!A140</f>
        <v>01-06-birth.csv</v>
      </c>
      <c r="B140" s="6" t="str">
        <f>'02-variable-info'!B140</f>
        <v>birthDate</v>
      </c>
      <c r="C140" s="6" t="str">
        <f>'02-variable-info'!M140</f>
        <v>date</v>
      </c>
      <c r="D140" s="6" t="str">
        <f>'02-variable-info'!H140</f>
        <v>date</v>
      </c>
    </row>
    <row r="141">
      <c r="A141" s="6" t="str">
        <f>'02-variable-info'!A141</f>
        <v>01-06-birth.csv</v>
      </c>
      <c r="B141" s="6" t="str">
        <f>'02-variable-info'!B141</f>
        <v>birthTime</v>
      </c>
      <c r="C141" s="6" t="str">
        <f>'02-variable-info'!M141</f>
        <v>time</v>
      </c>
      <c r="D141" s="6" t="str">
        <f>'02-variable-info'!H141</f>
        <v>time</v>
      </c>
    </row>
    <row r="142">
      <c r="A142" s="6" t="str">
        <f>'02-variable-info'!A142</f>
        <v>01-07-pre-temperature.csv</v>
      </c>
      <c r="B142" s="6" t="str">
        <f>'02-variable-info'!B142</f>
        <v>targetTreatmentTemperature_C</v>
      </c>
      <c r="C142" s="6" t="str">
        <f>'02-variable-info'!M142</f>
        <v>targetTreatmentTemperature</v>
      </c>
      <c r="D142" s="6" t="str">
        <f>'02-variable-info'!H142</f>
        <v>nomial</v>
      </c>
    </row>
    <row r="143">
      <c r="A143" s="6" t="str">
        <f>'02-variable-info'!A143</f>
        <v>01-07-pre-temperature.csv</v>
      </c>
      <c r="B143" s="6" t="str">
        <f>'02-variable-info'!B143</f>
        <v>pre_CoolInitiate</v>
      </c>
      <c r="C143" s="6" t="str">
        <f>'02-variable-info'!M143</f>
        <v>bool</v>
      </c>
      <c r="D143" s="6" t="str">
        <f>'02-variable-info'!H143</f>
        <v>boolean</v>
      </c>
    </row>
    <row r="144">
      <c r="A144" s="6" t="str">
        <f>'02-variable-info'!A144</f>
        <v>01-07-pre-temperature.csv</v>
      </c>
      <c r="B144" s="6" t="str">
        <f>'02-variable-info'!B144</f>
        <v>pre_CoolbyIceGelPack</v>
      </c>
      <c r="C144" s="6" t="str">
        <f>'02-variable-info'!M144</f>
        <v>bool</v>
      </c>
      <c r="D144" s="6" t="str">
        <f>'02-variable-info'!H144</f>
        <v>boolean</v>
      </c>
    </row>
    <row r="145">
      <c r="A145" s="6" t="str">
        <f>'02-variable-info'!A145</f>
        <v>01-07-pre-temperature.csv</v>
      </c>
      <c r="B145" s="6" t="str">
        <f>'02-variable-info'!B145</f>
        <v>pre_CoolPassively</v>
      </c>
      <c r="C145" s="6" t="str">
        <f>'02-variable-info'!M145</f>
        <v>bool</v>
      </c>
      <c r="D145" s="6" t="str">
        <f>'02-variable-info'!H145</f>
        <v>boolean</v>
      </c>
    </row>
    <row r="146">
      <c r="A146" s="6" t="str">
        <f>'02-variable-info'!A146</f>
        <v>01-07-pre-temperature.csv</v>
      </c>
      <c r="B146" s="6" t="str">
        <f>'02-variable-info'!B146</f>
        <v>pre_CoolClinically</v>
      </c>
      <c r="C146" s="6" t="str">
        <f>'02-variable-info'!M146</f>
        <v>bool</v>
      </c>
      <c r="D146" s="6" t="str">
        <f>'02-variable-info'!H146</f>
        <v>boolean</v>
      </c>
    </row>
    <row r="147">
      <c r="A147" s="6" t="str">
        <f>'02-variable-info'!A147</f>
        <v>01-07-pre-temperature.csv</v>
      </c>
      <c r="B147" s="6" t="str">
        <f>'02-variable-info'!B147</f>
        <v>pre_CoolInitiateDate</v>
      </c>
      <c r="C147" s="6" t="str">
        <f>'02-variable-info'!M147</f>
        <v>date</v>
      </c>
      <c r="D147" s="6" t="str">
        <f>'02-variable-info'!H147</f>
        <v>date</v>
      </c>
    </row>
    <row r="148">
      <c r="A148" s="6" t="str">
        <f>'02-variable-info'!A148</f>
        <v>01-07-pre-temperature.csv</v>
      </c>
      <c r="B148" s="6" t="str">
        <f>'02-variable-info'!B148</f>
        <v>pre_CoolInitiateTime</v>
      </c>
      <c r="C148" s="6" t="str">
        <f>'02-variable-info'!M148</f>
        <v>time</v>
      </c>
      <c r="D148" s="6" t="str">
        <f>'02-variable-info'!H148</f>
        <v>time</v>
      </c>
    </row>
    <row r="149">
      <c r="A149" s="6" t="str">
        <f>'02-variable-info'!A149</f>
        <v>01-07-pre-temperature.csv</v>
      </c>
      <c r="B149" s="6" t="str">
        <f>'02-variable-info'!B149</f>
        <v>pre_AfterOvershootReach33p5C</v>
      </c>
      <c r="C149" s="6" t="str">
        <f>'02-variable-info'!M149</f>
        <v>bool</v>
      </c>
      <c r="D149" s="6" t="str">
        <f>'02-variable-info'!H149</f>
        <v>boolean</v>
      </c>
    </row>
    <row r="150">
      <c r="A150" s="6" t="str">
        <f>'02-variable-info'!A150</f>
        <v>01-07-pre-temperature.csv</v>
      </c>
      <c r="B150" s="6" t="str">
        <f>'02-variable-info'!B150</f>
        <v>pre_AfterOvershootReach33p5CDate</v>
      </c>
      <c r="C150" s="6" t="str">
        <f>'02-variable-info'!M150</f>
        <v>date</v>
      </c>
      <c r="D150" s="6" t="str">
        <f>'02-variable-info'!H150</f>
        <v>date</v>
      </c>
    </row>
    <row r="151">
      <c r="A151" s="6" t="str">
        <f>'02-variable-info'!A151</f>
        <v>01-07-pre-temperature.csv</v>
      </c>
      <c r="B151" s="6" t="str">
        <f>'02-variable-info'!B151</f>
        <v>pre_AfterOvershootReach33p5CTime</v>
      </c>
      <c r="C151" s="6" t="str">
        <f>'02-variable-info'!M151</f>
        <v>time</v>
      </c>
      <c r="D151" s="6" t="str">
        <f>'02-variable-info'!H151</f>
        <v>time</v>
      </c>
    </row>
    <row r="152">
      <c r="A152" s="6" t="str">
        <f>'02-variable-info'!A152</f>
        <v>01-07-pre-temperature.csv</v>
      </c>
      <c r="B152" s="6" t="str">
        <f>'02-variable-info'!B152</f>
        <v>pre_TemperatureMinDate</v>
      </c>
      <c r="C152" s="6" t="str">
        <f>'02-variable-info'!M152</f>
        <v>date</v>
      </c>
      <c r="D152" s="6" t="str">
        <f>'02-variable-info'!H152</f>
        <v>date</v>
      </c>
    </row>
    <row r="153">
      <c r="A153" s="6" t="str">
        <f>'02-variable-info'!A153</f>
        <v>01-07-pre-temperature.csv</v>
      </c>
      <c r="B153" s="6" t="str">
        <f>'02-variable-info'!B153</f>
        <v>pre_TemperatureMinTime</v>
      </c>
      <c r="C153" s="6" t="str">
        <f>'02-variable-info'!M153</f>
        <v>time</v>
      </c>
      <c r="D153" s="6" t="str">
        <f>'02-variable-info'!H153</f>
        <v>time</v>
      </c>
    </row>
    <row r="154">
      <c r="A154" s="6" t="str">
        <f>'02-variable-info'!A154</f>
        <v>01-07-pre-temperature.csv</v>
      </c>
      <c r="B154" s="6" t="str">
        <f>'02-variable-info'!B154</f>
        <v>pre_SkinTemperatureMin_C</v>
      </c>
      <c r="C154" s="6" t="str">
        <f>'02-variable-info'!M154</f>
        <v>float</v>
      </c>
      <c r="D154" s="6" t="str">
        <f>'02-variable-info'!H154</f>
        <v>number</v>
      </c>
    </row>
    <row r="155">
      <c r="A155" s="6" t="str">
        <f>'02-variable-info'!A155</f>
        <v>01-07-pre-temperature.csv</v>
      </c>
      <c r="B155" s="6" t="str">
        <f>'02-variable-info'!B155</f>
        <v>pre_AxillaryTemperatureMin_C</v>
      </c>
      <c r="C155" s="6" t="str">
        <f>'02-variable-info'!M155</f>
        <v>float</v>
      </c>
      <c r="D155" s="6" t="str">
        <f>'02-variable-info'!H155</f>
        <v>number</v>
      </c>
    </row>
    <row r="156">
      <c r="A156" s="6" t="str">
        <f>'02-variable-info'!A156</f>
        <v>01-07-pre-temperature.csv</v>
      </c>
      <c r="B156" s="6" t="str">
        <f>'02-variable-info'!B156</f>
        <v>pre_EsophagealTemperatureMin_C</v>
      </c>
      <c r="C156" s="6" t="str">
        <f>'02-variable-info'!M156</f>
        <v>float</v>
      </c>
      <c r="D156" s="6" t="str">
        <f>'02-variable-info'!H156</f>
        <v>number</v>
      </c>
    </row>
    <row r="157">
      <c r="A157" s="6" t="str">
        <f>'02-variable-info'!A157</f>
        <v>01-07-pre-temperature.csv</v>
      </c>
      <c r="B157" s="6" t="str">
        <f>'02-variable-info'!B157</f>
        <v>pre_ServoSetMin_C</v>
      </c>
      <c r="C157" s="6" t="str">
        <f>'02-variable-info'!M157</f>
        <v>float</v>
      </c>
      <c r="D157" s="6" t="str">
        <f>'02-variable-info'!H157</f>
        <v>number</v>
      </c>
    </row>
    <row r="158">
      <c r="A158" s="6" t="str">
        <f>'02-variable-info'!A158</f>
        <v>01-07-pre-temperature.csv</v>
      </c>
      <c r="B158" s="6" t="str">
        <f>'02-variable-info'!B158</f>
        <v>pre_TemperatureMaxDate</v>
      </c>
      <c r="C158" s="6" t="str">
        <f>'02-variable-info'!M158</f>
        <v>date</v>
      </c>
      <c r="D158" s="6" t="str">
        <f>'02-variable-info'!H158</f>
        <v>date</v>
      </c>
    </row>
    <row r="159">
      <c r="A159" s="6" t="str">
        <f>'02-variable-info'!A159</f>
        <v>01-07-pre-temperature.csv</v>
      </c>
      <c r="B159" s="6" t="str">
        <f>'02-variable-info'!B159</f>
        <v>pre_TemperatureMaxTime</v>
      </c>
      <c r="C159" s="6" t="str">
        <f>'02-variable-info'!M159</f>
        <v>time</v>
      </c>
      <c r="D159" s="6" t="str">
        <f>'02-variable-info'!H159</f>
        <v>time</v>
      </c>
    </row>
    <row r="160">
      <c r="A160" s="6" t="str">
        <f>'02-variable-info'!A160</f>
        <v>01-07-pre-temperature.csv</v>
      </c>
      <c r="B160" s="6" t="str">
        <f>'02-variable-info'!B160</f>
        <v>pre_SkinTemperatureMax_C</v>
      </c>
      <c r="C160" s="6" t="str">
        <f>'02-variable-info'!M160</f>
        <v>float</v>
      </c>
      <c r="D160" s="6" t="str">
        <f>'02-variable-info'!H160</f>
        <v>number</v>
      </c>
    </row>
    <row r="161">
      <c r="A161" s="6" t="str">
        <f>'02-variable-info'!A161</f>
        <v>01-07-pre-temperature.csv</v>
      </c>
      <c r="B161" s="6" t="str">
        <f>'02-variable-info'!B161</f>
        <v>pre_AxillaryTemperatureMax_C</v>
      </c>
      <c r="C161" s="6" t="str">
        <f>'02-variable-info'!M161</f>
        <v>float</v>
      </c>
      <c r="D161" s="6" t="str">
        <f>'02-variable-info'!H161</f>
        <v>number</v>
      </c>
    </row>
    <row r="162">
      <c r="A162" s="6" t="str">
        <f>'02-variable-info'!A162</f>
        <v>01-07-pre-temperature.csv</v>
      </c>
      <c r="B162" s="6" t="str">
        <f>'02-variable-info'!B162</f>
        <v>pre_EsophagealTemperatureMax_C</v>
      </c>
      <c r="C162" s="6" t="str">
        <f>'02-variable-info'!M162</f>
        <v>float</v>
      </c>
      <c r="D162" s="6" t="str">
        <f>'02-variable-info'!H162</f>
        <v>number</v>
      </c>
    </row>
    <row r="163">
      <c r="A163" s="6" t="str">
        <f>'02-variable-info'!A163</f>
        <v>01-07-pre-temperature.csv</v>
      </c>
      <c r="B163" s="6" t="str">
        <f>'02-variable-info'!B163</f>
        <v>pre_ServoSetMax_C</v>
      </c>
      <c r="C163" s="6" t="str">
        <f>'02-variable-info'!M163</f>
        <v>float</v>
      </c>
      <c r="D163" s="6" t="str">
        <f>'02-variable-info'!H163</f>
        <v>number</v>
      </c>
    </row>
    <row r="164">
      <c r="A164" s="6" t="str">
        <f>'02-variable-info'!A164</f>
        <v>01-08-pre-cardiovascular.csv</v>
      </c>
      <c r="B164" s="6" t="str">
        <f>'02-variable-info'!B164</f>
        <v>pre_CardioDate</v>
      </c>
      <c r="C164" s="6" t="str">
        <f>'02-variable-info'!M164</f>
        <v>date</v>
      </c>
      <c r="D164" s="6" t="str">
        <f>'02-variable-info'!H164</f>
        <v>date</v>
      </c>
    </row>
    <row r="165">
      <c r="A165" s="6" t="str">
        <f>'02-variable-info'!A165</f>
        <v>01-08-pre-cardiovascular.csv</v>
      </c>
      <c r="B165" s="6" t="str">
        <f>'02-variable-info'!B165</f>
        <v>pre_CardioTime</v>
      </c>
      <c r="C165" s="6" t="str">
        <f>'02-variable-info'!M165</f>
        <v>time</v>
      </c>
      <c r="D165" s="6" t="str">
        <f>'02-variable-info'!H165</f>
        <v>time</v>
      </c>
    </row>
    <row r="166">
      <c r="A166" s="6" t="str">
        <f>'02-variable-info'!A166</f>
        <v>01-08-pre-cardiovascular.csv</v>
      </c>
      <c r="B166" s="6" t="str">
        <f>'02-variable-info'!B166</f>
        <v>pre_CardioSystolicBloodPressure_mmHg</v>
      </c>
      <c r="C166" s="6" t="str">
        <f>'02-variable-info'!M166</f>
        <v>float</v>
      </c>
      <c r="D166" s="6" t="str">
        <f>'02-variable-info'!H166</f>
        <v>number</v>
      </c>
    </row>
    <row r="167">
      <c r="A167" s="6" t="str">
        <f>'02-variable-info'!A167</f>
        <v>01-08-pre-cardiovascular.csv</v>
      </c>
      <c r="B167" s="6" t="str">
        <f>'02-variable-info'!B167</f>
        <v>pre_CardioDiastolicBloodPressure_mmHg</v>
      </c>
      <c r="C167" s="6" t="str">
        <f>'02-variable-info'!M167</f>
        <v>float</v>
      </c>
      <c r="D167" s="6" t="str">
        <f>'02-variable-info'!H167</f>
        <v>number</v>
      </c>
    </row>
    <row r="168">
      <c r="A168" s="6" t="str">
        <f>'02-variable-info'!A168</f>
        <v>01-08-pre-cardiovascular.csv</v>
      </c>
      <c r="B168" s="6" t="str">
        <f>'02-variable-info'!B168</f>
        <v>pre_CardioHeartRate_BPM</v>
      </c>
      <c r="C168" s="6" t="str">
        <f>'02-variable-info'!M168</f>
        <v>float</v>
      </c>
      <c r="D168" s="6" t="str">
        <f>'02-variable-info'!H168</f>
        <v>number</v>
      </c>
    </row>
    <row r="169">
      <c r="A169" s="6" t="str">
        <f>'02-variable-info'!A169</f>
        <v>01-08-pre-cardiovascular.csv</v>
      </c>
      <c r="B169" s="6" t="str">
        <f>'02-variable-info'!B169</f>
        <v>pre_CardioVolumeExpand</v>
      </c>
      <c r="C169" s="6" t="str">
        <f>'02-variable-info'!M169</f>
        <v>bool</v>
      </c>
      <c r="D169" s="6" t="str">
        <f>'02-variable-info'!H169</f>
        <v>boolean</v>
      </c>
    </row>
    <row r="170">
      <c r="A170" s="6" t="str">
        <f>'02-variable-info'!A170</f>
        <v>01-08-pre-cardiovascular.csv</v>
      </c>
      <c r="B170" s="6" t="str">
        <f>'02-variable-info'!B170</f>
        <v>pre_CardioInotropicAgent</v>
      </c>
      <c r="C170" s="6" t="str">
        <f>'02-variable-info'!M170</f>
        <v>bool</v>
      </c>
      <c r="D170" s="6" t="str">
        <f>'02-variable-info'!H170</f>
        <v>boolean</v>
      </c>
    </row>
    <row r="171">
      <c r="A171" s="6" t="str">
        <f>'02-variable-info'!A171</f>
        <v>01-08-pre-cardiovascular.csv</v>
      </c>
      <c r="B171" s="6" t="str">
        <f>'02-variable-info'!B171</f>
        <v>pre_CardioBloodTransfusion</v>
      </c>
      <c r="C171" s="6" t="str">
        <f>'02-variable-info'!M171</f>
        <v>bool</v>
      </c>
      <c r="D171" s="6" t="str">
        <f>'02-variable-info'!H171</f>
        <v>boolean</v>
      </c>
    </row>
    <row r="172">
      <c r="A172" s="6" t="str">
        <f>'02-variable-info'!A172</f>
        <v>01-08-pre-cardiovascular.csv</v>
      </c>
      <c r="B172" s="6" t="str">
        <f>'02-variable-info'!B172</f>
        <v>pre_CardioPlatelets</v>
      </c>
      <c r="C172" s="6" t="str">
        <f>'02-variable-info'!M172</f>
        <v>bool</v>
      </c>
      <c r="D172" s="6" t="str">
        <f>'02-variable-info'!H172</f>
        <v>boolean</v>
      </c>
    </row>
    <row r="173">
      <c r="A173" s="6" t="str">
        <f>'02-variable-info'!A173</f>
        <v>01-09-pre-infection.csv</v>
      </c>
      <c r="B173" s="6" t="str">
        <f>'02-variable-info'!B173</f>
        <v>pre_PositiveCulture</v>
      </c>
      <c r="C173" s="6" t="str">
        <f>'02-variable-info'!M173</f>
        <v>bool</v>
      </c>
      <c r="D173" s="6" t="str">
        <f>'02-variable-info'!H173</f>
        <v>boolean</v>
      </c>
    </row>
    <row r="174">
      <c r="A174" s="6" t="str">
        <f>'02-variable-info'!A174</f>
        <v>01-09-pre-infection.csv</v>
      </c>
      <c r="B174" s="6" t="str">
        <f>'02-variable-info'!B174</f>
        <v>pre_PositiveCultureSrc</v>
      </c>
      <c r="C174" s="6" t="str">
        <f>'02-variable-info'!M174</f>
        <v>positiveCultureSrc</v>
      </c>
      <c r="D174" s="6" t="str">
        <f>'02-variable-info'!H174</f>
        <v>nomial</v>
      </c>
    </row>
    <row r="175">
      <c r="A175" s="6" t="str">
        <f>'02-variable-info'!A175</f>
        <v>01-09-pre-infection.csv</v>
      </c>
      <c r="B175" s="6" t="str">
        <f>'02-variable-info'!B175</f>
        <v>pre_PositiveCultureDate</v>
      </c>
      <c r="C175" s="6" t="str">
        <f>'02-variable-info'!M175</f>
        <v>date</v>
      </c>
      <c r="D175" s="6" t="str">
        <f>'02-variable-info'!H175</f>
        <v>date</v>
      </c>
    </row>
    <row r="176">
      <c r="A176" s="6" t="str">
        <f>'02-variable-info'!A176</f>
        <v>01-09-pre-infection.csv</v>
      </c>
      <c r="B176" s="6" t="str">
        <f>'02-variable-info'!B176</f>
        <v>pre_PositiveCultureTime</v>
      </c>
      <c r="C176" s="6" t="str">
        <f>'02-variable-info'!M176</f>
        <v>time</v>
      </c>
      <c r="D176" s="6" t="str">
        <f>'02-variable-info'!H176</f>
        <v>time</v>
      </c>
    </row>
    <row r="177">
      <c r="A177" s="6" t="str">
        <f>'02-variable-info'!A177</f>
        <v>01-09-pre-infection.csv</v>
      </c>
      <c r="B177" s="6" t="str">
        <f>'02-variable-info'!B177</f>
        <v>pre_PositiveCultureOrganismCode1</v>
      </c>
      <c r="C177" s="6" t="str">
        <f>'02-variable-info'!M177</f>
        <v>positiveCultureOrganism</v>
      </c>
      <c r="D177" s="6" t="str">
        <f>'02-variable-info'!H177</f>
        <v>nomial</v>
      </c>
    </row>
    <row r="178">
      <c r="A178" s="6" t="str">
        <f>'02-variable-info'!A178</f>
        <v>01-09-pre-infection.csv</v>
      </c>
      <c r="B178" s="6" t="str">
        <f>'02-variable-info'!B178</f>
        <v>pre_Antibiotics</v>
      </c>
      <c r="C178" s="6" t="str">
        <f>'02-variable-info'!M178</f>
        <v>bool</v>
      </c>
      <c r="D178" s="6" t="str">
        <f>'02-variable-info'!H178</f>
        <v>boolean</v>
      </c>
    </row>
    <row r="179">
      <c r="A179" s="6" t="str">
        <f>'02-variable-info'!A179</f>
        <v>01-09-pre-infection.csv</v>
      </c>
      <c r="B179" s="6" t="str">
        <f>'02-variable-info'!B179</f>
        <v>pre_AntibioticsCode1</v>
      </c>
      <c r="C179" s="6" t="str">
        <f>'02-variable-info'!M179</f>
        <v>antibiotics</v>
      </c>
      <c r="D179" s="6" t="str">
        <f>'02-variable-info'!H179</f>
        <v>nomial</v>
      </c>
    </row>
    <row r="180">
      <c r="A180" s="6" t="str">
        <f>'02-variable-info'!A180</f>
        <v>01-10-pre-other-med.csv</v>
      </c>
      <c r="B180" s="6" t="str">
        <f>'02-variable-info'!B180</f>
        <v>pre_OtherMedTargetDate</v>
      </c>
      <c r="C180" s="6" t="str">
        <f>'02-variable-info'!M180</f>
        <v>date</v>
      </c>
      <c r="D180" s="6" t="str">
        <f>'02-variable-info'!H180</f>
        <v>date</v>
      </c>
    </row>
    <row r="181">
      <c r="A181" s="6" t="str">
        <f>'02-variable-info'!A181</f>
        <v>01-10-pre-other-med.csv</v>
      </c>
      <c r="B181" s="6" t="str">
        <f>'02-variable-info'!B181</f>
        <v>pre_OtherMedTargetTime</v>
      </c>
      <c r="C181" s="6" t="str">
        <f>'02-variable-info'!M181</f>
        <v>time</v>
      </c>
      <c r="D181" s="6" t="str">
        <f>'02-variable-info'!H181</f>
        <v>time</v>
      </c>
    </row>
    <row r="182">
      <c r="A182" s="6" t="str">
        <f>'02-variable-info'!A182</f>
        <v>01-10-pre-other-med.csv</v>
      </c>
      <c r="B182" s="6" t="str">
        <f>'02-variable-info'!B182</f>
        <v>pre_Anticonvulsants1</v>
      </c>
      <c r="C182" s="6" t="str">
        <f>'02-variable-info'!M182</f>
        <v>anticonvulsants</v>
      </c>
      <c r="D182" s="6" t="str">
        <f>'02-variable-info'!H182</f>
        <v>nomial</v>
      </c>
    </row>
    <row r="183">
      <c r="A183" s="6" t="str">
        <f>'02-variable-info'!A183</f>
        <v>01-10-pre-other-med.csv</v>
      </c>
      <c r="B183" s="6" t="str">
        <f>'02-variable-info'!B183</f>
        <v>pre_AnalgesicsSedatives1</v>
      </c>
      <c r="C183" s="6" t="str">
        <f>'02-variable-info'!M183</f>
        <v>analgesics</v>
      </c>
      <c r="D183" s="6" t="str">
        <f>'02-variable-info'!H183</f>
        <v>nomial</v>
      </c>
    </row>
    <row r="184">
      <c r="A184" s="6" t="str">
        <f>'02-variable-info'!A184</f>
        <v>01-10-pre-other-med.csv</v>
      </c>
      <c r="B184" s="6" t="str">
        <f>'02-variable-info'!B184</f>
        <v>pre_Antipyretics1</v>
      </c>
      <c r="C184" s="6" t="str">
        <f>'02-variable-info'!M184</f>
        <v>antipyretics</v>
      </c>
      <c r="D184" s="6" t="str">
        <f>'02-variable-info'!H184</f>
        <v>nomial</v>
      </c>
    </row>
    <row r="185">
      <c r="A185" s="6" t="str">
        <f>'02-variable-info'!A185</f>
        <v>01-10-pre-other-med.csv</v>
      </c>
      <c r="B185" s="6" t="str">
        <f>'02-variable-info'!B185</f>
        <v>pre_Paralytics1</v>
      </c>
      <c r="C185" s="6" t="str">
        <f>'02-variable-info'!M185</f>
        <v>paralytics</v>
      </c>
      <c r="D185" s="6" t="str">
        <f>'02-variable-info'!H185</f>
        <v>nomial</v>
      </c>
    </row>
    <row r="186">
      <c r="A186" s="6" t="str">
        <f>'02-variable-info'!A186</f>
        <v>01-10-pre-other-med.csv</v>
      </c>
      <c r="B186" s="6" t="str">
        <f>'02-variable-info'!B186</f>
        <v>pre_OtherMedFluidIntake_ccPerKg</v>
      </c>
      <c r="C186" s="6" t="str">
        <f>'02-variable-info'!M186</f>
        <v>float</v>
      </c>
      <c r="D186" s="6" t="str">
        <f>'02-variable-info'!H186</f>
        <v>number</v>
      </c>
    </row>
    <row r="187">
      <c r="A187" s="6" t="str">
        <f>'02-variable-info'!A187</f>
        <v>01-10-pre-other-med.csv</v>
      </c>
      <c r="B187" s="6" t="str">
        <f>'02-variable-info'!B187</f>
        <v>pre_OtherMedUrineOutput_ccPerKg</v>
      </c>
      <c r="C187" s="6" t="str">
        <f>'02-variable-info'!M187</f>
        <v>float</v>
      </c>
      <c r="D187" s="6" t="str">
        <f>'02-variable-info'!H187</f>
        <v>number</v>
      </c>
    </row>
    <row r="188">
      <c r="A188" s="6" t="str">
        <f>'02-variable-info'!A188</f>
        <v>01-11-pre-imaging.csv</v>
      </c>
      <c r="B188" s="6" t="str">
        <f>'02-variable-info'!B188</f>
        <v>pre_HeadSonogram</v>
      </c>
      <c r="C188" s="6" t="str">
        <f>'02-variable-info'!M188</f>
        <v>bool</v>
      </c>
      <c r="D188" s="6" t="str">
        <f>'02-variable-info'!H188</f>
        <v>boolean</v>
      </c>
    </row>
    <row r="189">
      <c r="A189" s="6" t="str">
        <f>'02-variable-info'!A189</f>
        <v>01-11-pre-imaging.csv</v>
      </c>
      <c r="B189" s="6" t="str">
        <f>'02-variable-info'!B189</f>
        <v>pre_HeadSonogramDate</v>
      </c>
      <c r="C189" s="6" t="str">
        <f>'02-variable-info'!M189</f>
        <v>date</v>
      </c>
      <c r="D189" s="6" t="str">
        <f>'02-variable-info'!H189</f>
        <v>date</v>
      </c>
    </row>
    <row r="190">
      <c r="A190" s="6" t="str">
        <f>'02-variable-info'!A190</f>
        <v>01-11-pre-imaging.csv</v>
      </c>
      <c r="B190" s="6" t="str">
        <f>'02-variable-info'!B190</f>
        <v>pre_HeadSonogramTime</v>
      </c>
      <c r="C190" s="6" t="str">
        <f>'02-variable-info'!M190</f>
        <v>time</v>
      </c>
      <c r="D190" s="6" t="str">
        <f>'02-variable-info'!H190</f>
        <v>time</v>
      </c>
    </row>
    <row r="191">
      <c r="A191" s="6" t="str">
        <f>'02-variable-info'!A191</f>
        <v>01-11-pre-imaging.csv</v>
      </c>
      <c r="B191" s="6" t="str">
        <f>'02-variable-info'!B191</f>
        <v>pre_HeadSonogramResult1</v>
      </c>
      <c r="C191" s="6" t="str">
        <f>'02-variable-info'!M191</f>
        <v>imaging</v>
      </c>
      <c r="D191" s="6" t="str">
        <f>'02-variable-info'!H191</f>
        <v>nomial</v>
      </c>
    </row>
    <row r="192">
      <c r="A192" s="6" t="str">
        <f>'02-variable-info'!A192</f>
        <v>01-11-pre-imaging.csv</v>
      </c>
      <c r="B192" s="6" t="str">
        <f>'02-variable-info'!B192</f>
        <v>pre_HeadSonogramResultText</v>
      </c>
      <c r="C192" s="6" t="str">
        <f>'02-variable-info'!M192</f>
        <v>text</v>
      </c>
      <c r="D192" s="6" t="str">
        <f>'02-variable-info'!H192</f>
        <v>text</v>
      </c>
    </row>
    <row r="193">
      <c r="A193" s="6" t="str">
        <f>'02-variable-info'!A193</f>
        <v>01-11-pre-imaging.csv</v>
      </c>
      <c r="B193" s="6" t="str">
        <f>'02-variable-info'!B193</f>
        <v>pre_HeadCT</v>
      </c>
      <c r="C193" s="6" t="str">
        <f>'02-variable-info'!M193</f>
        <v>bool</v>
      </c>
      <c r="D193" s="6" t="str">
        <f>'02-variable-info'!H193</f>
        <v>boolean</v>
      </c>
    </row>
    <row r="194">
      <c r="A194" s="6" t="str">
        <f>'02-variable-info'!A194</f>
        <v>01-11-pre-imaging.csv</v>
      </c>
      <c r="B194" s="6" t="str">
        <f>'02-variable-info'!B194</f>
        <v>pre_HeadCTDate</v>
      </c>
      <c r="C194" s="6" t="str">
        <f>'02-variable-info'!M194</f>
        <v>date</v>
      </c>
      <c r="D194" s="6" t="str">
        <f>'02-variable-info'!H194</f>
        <v>date</v>
      </c>
    </row>
    <row r="195">
      <c r="A195" s="6" t="str">
        <f>'02-variable-info'!A195</f>
        <v>01-11-pre-imaging.csv</v>
      </c>
      <c r="B195" s="6" t="str">
        <f>'02-variable-info'!B195</f>
        <v>pre_HeadCTTime</v>
      </c>
      <c r="C195" s="6" t="str">
        <f>'02-variable-info'!M195</f>
        <v>time</v>
      </c>
      <c r="D195" s="6" t="str">
        <f>'02-variable-info'!H195</f>
        <v>time</v>
      </c>
    </row>
    <row r="196">
      <c r="A196" s="6" t="str">
        <f>'02-variable-info'!A196</f>
        <v>01-11-pre-imaging.csv</v>
      </c>
      <c r="B196" s="6" t="str">
        <f>'02-variable-info'!B196</f>
        <v>pre_HeadCTResult1</v>
      </c>
      <c r="C196" s="6" t="str">
        <f>'02-variable-info'!M196</f>
        <v>imaging</v>
      </c>
      <c r="D196" s="6" t="str">
        <f>'02-variable-info'!H196</f>
        <v>nomial</v>
      </c>
    </row>
    <row r="197">
      <c r="A197" s="6" t="str">
        <f>'02-variable-info'!A197</f>
        <v>01-11-pre-imaging.csv</v>
      </c>
      <c r="B197" s="6" t="str">
        <f>'02-variable-info'!B197</f>
        <v>pre_HeadCTResultText</v>
      </c>
      <c r="C197" s="6" t="str">
        <f>'02-variable-info'!M197</f>
        <v>text</v>
      </c>
      <c r="D197" s="6" t="str">
        <f>'02-variable-info'!H197</f>
        <v>text</v>
      </c>
    </row>
    <row r="198">
      <c r="A198" s="6" t="str">
        <f>'02-variable-info'!A198</f>
        <v>01-11-pre-imaging.csv</v>
      </c>
      <c r="B198" s="6" t="str">
        <f>'02-variable-info'!B198</f>
        <v>pre_BrainMRI</v>
      </c>
      <c r="C198" s="6" t="str">
        <f>'02-variable-info'!M198</f>
        <v>bool</v>
      </c>
      <c r="D198" s="6" t="str">
        <f>'02-variable-info'!H198</f>
        <v>boolean</v>
      </c>
    </row>
    <row r="199">
      <c r="A199" s="6" t="str">
        <f>'02-variable-info'!A199</f>
        <v>01-11-pre-imaging.csv</v>
      </c>
      <c r="B199" s="6" t="str">
        <f>'02-variable-info'!B199</f>
        <v>pre_BrainMRIDate</v>
      </c>
      <c r="C199" s="6" t="str">
        <f>'02-variable-info'!M199</f>
        <v>date</v>
      </c>
      <c r="D199" s="6" t="str">
        <f>'02-variable-info'!H199</f>
        <v>date</v>
      </c>
    </row>
    <row r="200">
      <c r="A200" s="6" t="str">
        <f>'02-variable-info'!A200</f>
        <v>01-11-pre-imaging.csv</v>
      </c>
      <c r="B200" s="6" t="str">
        <f>'02-variable-info'!B200</f>
        <v>pre_BrainMRITime</v>
      </c>
      <c r="C200" s="6" t="str">
        <f>'02-variable-info'!M200</f>
        <v>time</v>
      </c>
      <c r="D200" s="6" t="str">
        <f>'02-variable-info'!H200</f>
        <v>time</v>
      </c>
    </row>
    <row r="201">
      <c r="A201" s="6" t="str">
        <f>'02-variable-info'!A201</f>
        <v>01-11-pre-imaging.csv</v>
      </c>
      <c r="B201" s="6" t="str">
        <f>'02-variable-info'!B201</f>
        <v>pre_BrainMRIResult1</v>
      </c>
      <c r="C201" s="6" t="str">
        <f>'02-variable-info'!M201</f>
        <v>imaging</v>
      </c>
      <c r="D201" s="6" t="str">
        <f>'02-variable-info'!H201</f>
        <v>nomial</v>
      </c>
    </row>
    <row r="202">
      <c r="A202" s="6" t="str">
        <f>'02-variable-info'!A202</f>
        <v>01-11-pre-imaging.csv</v>
      </c>
      <c r="B202" s="6" t="str">
        <f>'02-variable-info'!B202</f>
        <v>pre_BrainMRIResultText</v>
      </c>
      <c r="C202" s="6" t="str">
        <f>'02-variable-info'!M202</f>
        <v>text</v>
      </c>
      <c r="D202" s="6" t="str">
        <f>'02-variable-info'!H202</f>
        <v>text</v>
      </c>
    </row>
    <row r="203">
      <c r="A203" s="6" t="str">
        <f>'02-variable-info'!A203</f>
        <v>01-12-neuro-exam.csv</v>
      </c>
      <c r="B203" s="6" t="str">
        <f>'02-variable-info'!B203</f>
        <v>pre_NeuroExam</v>
      </c>
      <c r="C203" s="6" t="str">
        <f>'02-variable-info'!M203</f>
        <v>bool</v>
      </c>
      <c r="D203" s="6" t="str">
        <f>'02-variable-info'!H203</f>
        <v>boolean</v>
      </c>
    </row>
    <row r="204">
      <c r="A204" s="6" t="str">
        <f>'02-variable-info'!A204</f>
        <v>01-12-neuro-exam.csv</v>
      </c>
      <c r="B204" s="6" t="str">
        <f>'02-variable-info'!B204</f>
        <v>pre_NoNeuroExamReason</v>
      </c>
      <c r="C204" s="6" t="str">
        <f>'02-variable-info'!M204</f>
        <v>noNeuroExamReason</v>
      </c>
      <c r="D204" s="6" t="str">
        <f>'02-variable-info'!H204</f>
        <v>nomial</v>
      </c>
    </row>
    <row r="205">
      <c r="A205" s="6" t="str">
        <f>'02-variable-info'!A205</f>
        <v>01-12-neuro-exam.csv</v>
      </c>
      <c r="B205" s="6" t="str">
        <f>'02-variable-info'!B205</f>
        <v>pre_NeuroExamSignModerateSevereHIE3Category</v>
      </c>
      <c r="C205" s="6" t="str">
        <f>'02-variable-info'!M205</f>
        <v>bool</v>
      </c>
      <c r="D205" s="6" t="str">
        <f>'02-variable-info'!H205</f>
        <v>boolean</v>
      </c>
    </row>
    <row r="206">
      <c r="A206" s="6" t="str">
        <f>'02-variable-info'!A206</f>
        <v>01-12-neuro-exam.csv</v>
      </c>
      <c r="B206" s="6" t="str">
        <f>'02-variable-info'!B206</f>
        <v>pre_NeuroExamLevelConsciousness</v>
      </c>
      <c r="C206" s="6" t="str">
        <f>'02-variable-info'!M206</f>
        <v>signOfHIELvlOfCons</v>
      </c>
      <c r="D206" s="6" t="str">
        <f>'02-variable-info'!H206</f>
        <v>ordinal</v>
      </c>
    </row>
    <row r="207">
      <c r="A207" s="6" t="str">
        <f>'02-variable-info'!A207</f>
        <v>01-12-neuro-exam.csv</v>
      </c>
      <c r="B207" s="6" t="str">
        <f>'02-variable-info'!B207</f>
        <v>pre_NeuroExamSpontaneousActivity</v>
      </c>
      <c r="C207" s="6" t="str">
        <f>'02-variable-info'!M207</f>
        <v>signOfHIESpontaneousActivity</v>
      </c>
      <c r="D207" s="6" t="str">
        <f>'02-variable-info'!H207</f>
        <v>ordinal</v>
      </c>
    </row>
    <row r="208">
      <c r="A208" s="6" t="str">
        <f>'02-variable-info'!A208</f>
        <v>01-12-neuro-exam.csv</v>
      </c>
      <c r="B208" s="6" t="str">
        <f>'02-variable-info'!B208</f>
        <v>pre_NeuroExamPosture</v>
      </c>
      <c r="C208" s="6" t="str">
        <f>'02-variable-info'!M208</f>
        <v>signOfHIEPosture</v>
      </c>
      <c r="D208" s="6" t="str">
        <f>'02-variable-info'!H208</f>
        <v>ordinal</v>
      </c>
    </row>
    <row r="209">
      <c r="A209" s="6" t="str">
        <f>'02-variable-info'!A209</f>
        <v>01-12-neuro-exam.csv</v>
      </c>
      <c r="B209" s="6" t="str">
        <f>'02-variable-info'!B209</f>
        <v>pre_NeuroExamTone</v>
      </c>
      <c r="C209" s="6" t="str">
        <f>'02-variable-info'!M209</f>
        <v>signOfHIETone</v>
      </c>
      <c r="D209" s="6" t="str">
        <f>'02-variable-info'!H209</f>
        <v>ordinal</v>
      </c>
    </row>
    <row r="210">
      <c r="A210" s="6" t="str">
        <f>'02-variable-info'!A210</f>
        <v>01-12-neuro-exam.csv</v>
      </c>
      <c r="B210" s="6" t="str">
        <f>'02-variable-info'!B210</f>
        <v>pre_NeuroExamSuck</v>
      </c>
      <c r="C210" s="6" t="str">
        <f>'02-variable-info'!M210</f>
        <v>signOfHIESuck</v>
      </c>
      <c r="D210" s="6" t="str">
        <f>'02-variable-info'!H210</f>
        <v>ordinal</v>
      </c>
    </row>
    <row r="211">
      <c r="A211" s="6" t="str">
        <f>'02-variable-info'!A211</f>
        <v>01-12-neuro-exam.csv</v>
      </c>
      <c r="B211" s="6" t="str">
        <f>'02-variable-info'!B211</f>
        <v>pre_NeuroExamMoro</v>
      </c>
      <c r="C211" s="6" t="str">
        <f>'02-variable-info'!M211</f>
        <v>signOfHIEMoro</v>
      </c>
      <c r="D211" s="6" t="str">
        <f>'02-variable-info'!H211</f>
        <v>ordinal</v>
      </c>
    </row>
    <row r="212">
      <c r="A212" s="6" t="str">
        <f>'02-variable-info'!A212</f>
        <v>01-12-neuro-exam.csv</v>
      </c>
      <c r="B212" s="6" t="str">
        <f>'02-variable-info'!B212</f>
        <v>pre_NeuroExamPupils</v>
      </c>
      <c r="C212" s="6" t="str">
        <f>'02-variable-info'!M212</f>
        <v>signOfHIEPupils</v>
      </c>
      <c r="D212" s="6" t="str">
        <f>'02-variable-info'!H212</f>
        <v>ordinal</v>
      </c>
    </row>
    <row r="213">
      <c r="A213" s="6" t="str">
        <f>'02-variable-info'!A213</f>
        <v>01-12-neuro-exam.csv</v>
      </c>
      <c r="B213" s="6" t="str">
        <f>'02-variable-info'!B213</f>
        <v>pre_NeuroExamHeartRate</v>
      </c>
      <c r="C213" s="6" t="str">
        <f>'02-variable-info'!M213</f>
        <v>signOfHIEHeartRate</v>
      </c>
      <c r="D213" s="6" t="str">
        <f>'02-variable-info'!H213</f>
        <v>ordinal</v>
      </c>
    </row>
    <row r="214">
      <c r="A214" s="6" t="str">
        <f>'02-variable-info'!A214</f>
        <v>01-12-neuro-exam.csv</v>
      </c>
      <c r="B214" s="6" t="str">
        <f>'02-variable-info'!B214</f>
        <v>pre_NeuroExamRespiration</v>
      </c>
      <c r="C214" s="6" t="str">
        <f>'02-variable-info'!M214</f>
        <v>signOfHIERespiratory</v>
      </c>
      <c r="D214" s="6" t="str">
        <f>'02-variable-info'!H214</f>
        <v>ordinal</v>
      </c>
    </row>
    <row r="215">
      <c r="A215" s="6" t="str">
        <f>'02-variable-info'!A215</f>
        <v>01-12-neuro-exam.csv</v>
      </c>
      <c r="B215" s="6" t="str">
        <f>'02-variable-info'!B215</f>
        <v>pre_NeuroExamDate</v>
      </c>
      <c r="C215" s="6" t="str">
        <f>'02-variable-info'!M215</f>
        <v>date</v>
      </c>
      <c r="D215" s="6" t="str">
        <f>'02-variable-info'!H215</f>
        <v>date</v>
      </c>
    </row>
    <row r="216">
      <c r="A216" s="6" t="str">
        <f>'02-variable-info'!A216</f>
        <v>01-12-neuro-exam.csv</v>
      </c>
      <c r="B216" s="6" t="str">
        <f>'02-variable-info'!B216</f>
        <v>pre_NeuroExamTime</v>
      </c>
      <c r="C216" s="6" t="str">
        <f>'02-variable-info'!M216</f>
        <v>time</v>
      </c>
      <c r="D216" s="6" t="str">
        <f>'02-variable-info'!H216</f>
        <v>time</v>
      </c>
    </row>
    <row r="217">
      <c r="A217" s="6" t="str">
        <f>'02-variable-info'!A217</f>
        <v>01-12-neuro-exam.csv</v>
      </c>
      <c r="B217" s="6" t="str">
        <f>'02-variable-info'!B217</f>
        <v>pre_NeuroExamSedate</v>
      </c>
      <c r="C217" s="6" t="str">
        <f>'02-variable-info'!M217</f>
        <v>bool</v>
      </c>
      <c r="D217" s="6" t="str">
        <f>'02-variable-info'!H217</f>
        <v>boolean</v>
      </c>
    </row>
    <row r="218">
      <c r="A218" s="6" t="str">
        <f>'02-variable-info'!A218</f>
        <v>01-12-neuro-exam.csv</v>
      </c>
      <c r="B218" s="6" t="str">
        <f>'02-variable-info'!B218</f>
        <v>pre_NeuroExamSeizure</v>
      </c>
      <c r="C218" s="6" t="str">
        <f>'02-variable-info'!M218</f>
        <v>bool</v>
      </c>
      <c r="D218" s="6" t="str">
        <f>'02-variable-info'!H218</f>
        <v>boolean</v>
      </c>
    </row>
    <row r="219">
      <c r="A219" s="6" t="str">
        <f>'02-variable-info'!A219</f>
        <v>01-12_1-total-modified-sarnat.csv</v>
      </c>
      <c r="B219" s="6" t="str">
        <f>'02-variable-info'!B219</f>
        <v>pre_NeuroExamReflexScore</v>
      </c>
      <c r="C219" s="6" t="str">
        <f>'02-variable-info'!M219</f>
        <v>int</v>
      </c>
      <c r="D219" s="6" t="str">
        <f>'02-variable-info'!H219</f>
        <v>number</v>
      </c>
    </row>
    <row r="220">
      <c r="A220" s="6" t="str">
        <f>'02-variable-info'!A220</f>
        <v>01-12_1-total-modified-sarnat.csv</v>
      </c>
      <c r="B220" s="6" t="str">
        <f>'02-variable-info'!B220</f>
        <v>pre_NeuroExamANSScore</v>
      </c>
      <c r="C220" s="6" t="str">
        <f>'02-variable-info'!M220</f>
        <v>int</v>
      </c>
      <c r="D220" s="6" t="str">
        <f>'02-variable-info'!H220</f>
        <v>number</v>
      </c>
    </row>
    <row r="221">
      <c r="A221" s="6" t="str">
        <f>'02-variable-info'!A221</f>
        <v>01-12_1-total-modified-sarnat.csv</v>
      </c>
      <c r="B221" s="6" t="str">
        <f>'02-variable-info'!B221</f>
        <v>pre_TotalModifiedSarnatScore</v>
      </c>
      <c r="C221" s="6" t="str">
        <f>'02-variable-info'!M221</f>
        <v>int</v>
      </c>
      <c r="D221" s="6" t="str">
        <f>'02-variable-info'!H221</f>
        <v>number</v>
      </c>
    </row>
    <row r="222">
      <c r="A222" s="6" t="str">
        <f>'02-variable-info'!A222</f>
        <v>02-01-temperature.csv</v>
      </c>
      <c r="B222" s="6" t="str">
        <f>'02-variable-info'!B222</f>
        <v>temperatureTimeSlot_min</v>
      </c>
      <c r="C222" s="6" t="str">
        <f>'02-variable-info'!M222</f>
        <v>int</v>
      </c>
      <c r="D222" s="6" t="str">
        <f>'02-variable-info'!H222</f>
        <v>number</v>
      </c>
    </row>
    <row r="223">
      <c r="A223" s="6" t="str">
        <f>'02-variable-info'!A223</f>
        <v>02-01-temperature.csv</v>
      </c>
      <c r="B223" s="6" t="str">
        <f>'02-variable-info'!B223</f>
        <v>temperatureTimeSlotNoForm</v>
      </c>
      <c r="C223" s="6" t="str">
        <f>'02-variable-info'!M223</f>
        <v>bool</v>
      </c>
      <c r="D223" s="6" t="str">
        <f>'02-variable-info'!H223</f>
        <v>boolean</v>
      </c>
    </row>
    <row r="224">
      <c r="A224" s="6" t="str">
        <f>'02-variable-info'!A224</f>
        <v>02-01-temperature.csv</v>
      </c>
      <c r="B224" s="6" t="str">
        <f>'02-variable-info'!B224</f>
        <v>temperatureDate</v>
      </c>
      <c r="C224" s="6" t="str">
        <f>'02-variable-info'!M224</f>
        <v>date</v>
      </c>
      <c r="D224" s="6" t="str">
        <f>'02-variable-info'!H224</f>
        <v>date</v>
      </c>
    </row>
    <row r="225">
      <c r="A225" s="6" t="str">
        <f>'02-variable-info'!A225</f>
        <v>02-01-temperature.csv</v>
      </c>
      <c r="B225" s="6" t="str">
        <f>'02-variable-info'!B225</f>
        <v>temperatureTime</v>
      </c>
      <c r="C225" s="6" t="str">
        <f>'02-variable-info'!M225</f>
        <v>time</v>
      </c>
      <c r="D225" s="6" t="str">
        <f>'02-variable-info'!H225</f>
        <v>time</v>
      </c>
    </row>
    <row r="226">
      <c r="A226" s="6" t="str">
        <f>'02-variable-info'!A226</f>
        <v>02-01-temperature.csv</v>
      </c>
      <c r="B226" s="6" t="str">
        <f>'02-variable-info'!B226</f>
        <v>skinTemperature_C</v>
      </c>
      <c r="C226" s="6" t="str">
        <f>'02-variable-info'!M226</f>
        <v>float</v>
      </c>
      <c r="D226" s="6" t="str">
        <f>'02-variable-info'!H226</f>
        <v>number</v>
      </c>
    </row>
    <row r="227">
      <c r="A227" s="6" t="str">
        <f>'02-variable-info'!A227</f>
        <v>02-01-temperature.csv</v>
      </c>
      <c r="B227" s="6" t="str">
        <f>'02-variable-info'!B227</f>
        <v>axillaryTemperature_C</v>
      </c>
      <c r="C227" s="6" t="str">
        <f>'02-variable-info'!M227</f>
        <v>float</v>
      </c>
      <c r="D227" s="6" t="str">
        <f>'02-variable-info'!H227</f>
        <v>number</v>
      </c>
    </row>
    <row r="228">
      <c r="A228" s="6" t="str">
        <f>'02-variable-info'!A228</f>
        <v>02-01-temperature.csv</v>
      </c>
      <c r="B228" s="6" t="str">
        <f>'02-variable-info'!B228</f>
        <v>esophagealTemperature_C</v>
      </c>
      <c r="C228" s="6" t="str">
        <f>'02-variable-info'!M228</f>
        <v>float</v>
      </c>
      <c r="D228" s="6" t="str">
        <f>'02-variable-info'!H228</f>
        <v>number</v>
      </c>
    </row>
    <row r="229">
      <c r="A229" s="6" t="str">
        <f>'02-variable-info'!A229</f>
        <v>02-01-temperature.csv</v>
      </c>
      <c r="B229" s="6" t="str">
        <f>'02-variable-info'!B229</f>
        <v>blanketTemperature_C</v>
      </c>
      <c r="C229" s="6" t="str">
        <f>'02-variable-info'!M229</f>
        <v>float</v>
      </c>
      <c r="D229" s="6" t="str">
        <f>'02-variable-info'!H229</f>
        <v>number</v>
      </c>
    </row>
    <row r="230">
      <c r="A230" s="6" t="str">
        <f>'02-variable-info'!A230</f>
        <v>02-01-temperature.csv</v>
      </c>
      <c r="B230" s="6" t="str">
        <f>'02-variable-info'!B230</f>
        <v>servoSetTemperature_C</v>
      </c>
      <c r="C230" s="6" t="str">
        <f>'02-variable-info'!M230</f>
        <v>float</v>
      </c>
      <c r="D230" s="6" t="str">
        <f>'02-variable-info'!H230</f>
        <v>number</v>
      </c>
    </row>
    <row r="231">
      <c r="A231" s="6" t="str">
        <f>'02-variable-info'!A231</f>
        <v>02-01-temperature.csv</v>
      </c>
      <c r="B231" s="6" t="str">
        <f>'02-variable-info'!B231</f>
        <v>alterationSkinIntegrity</v>
      </c>
      <c r="C231" s="6" t="str">
        <f>'02-variable-info'!M231</f>
        <v>bool</v>
      </c>
      <c r="D231" s="6" t="str">
        <f>'02-variable-info'!H231</f>
        <v>boolean</v>
      </c>
    </row>
    <row r="232">
      <c r="A232" s="6" t="str">
        <f>'02-variable-info'!A232</f>
        <v>02-01-temperature.csv</v>
      </c>
      <c r="B232" s="6" t="str">
        <f>'02-variable-info'!B232</f>
        <v>shiver</v>
      </c>
      <c r="C232" s="6" t="str">
        <f>'02-variable-info'!M232</f>
        <v>bool</v>
      </c>
      <c r="D232" s="6" t="str">
        <f>'02-variable-info'!H232</f>
        <v>boolean</v>
      </c>
    </row>
    <row r="233">
      <c r="A233" s="6" t="str">
        <f>'02-variable-info'!A233</f>
        <v>02-02-cardiovascular.csv</v>
      </c>
      <c r="B233" s="6" t="str">
        <f>'02-variable-info'!B233</f>
        <v>cardioTimeSlot_min</v>
      </c>
      <c r="C233" s="6" t="str">
        <f>'02-variable-info'!M233</f>
        <v>int</v>
      </c>
      <c r="D233" s="6" t="str">
        <f>'02-variable-info'!H233</f>
        <v>number</v>
      </c>
    </row>
    <row r="234">
      <c r="A234" s="6" t="str">
        <f>'02-variable-info'!A234</f>
        <v>02-02-cardiovascular.csv</v>
      </c>
      <c r="B234" s="6" t="str">
        <f>'02-variable-info'!B234</f>
        <v>cardioDate</v>
      </c>
      <c r="C234" s="6" t="str">
        <f>'02-variable-info'!M234</f>
        <v>date</v>
      </c>
      <c r="D234" s="6" t="str">
        <f>'02-variable-info'!H234</f>
        <v>date</v>
      </c>
    </row>
    <row r="235">
      <c r="A235" s="6" t="str">
        <f>'02-variable-info'!A235</f>
        <v>02-02-cardiovascular.csv</v>
      </c>
      <c r="B235" s="6" t="str">
        <f>'02-variable-info'!B235</f>
        <v>cardioTime</v>
      </c>
      <c r="C235" s="6" t="str">
        <f>'02-variable-info'!M235</f>
        <v>time</v>
      </c>
      <c r="D235" s="6" t="str">
        <f>'02-variable-info'!H235</f>
        <v>time</v>
      </c>
    </row>
    <row r="236">
      <c r="A236" s="6" t="str">
        <f>'02-variable-info'!A236</f>
        <v>02-02-cardiovascular.csv</v>
      </c>
      <c r="B236" s="6" t="str">
        <f>'02-variable-info'!B236</f>
        <v>cardioSystolicBloodPressure_mmHg</v>
      </c>
      <c r="C236" s="6" t="str">
        <f>'02-variable-info'!M236</f>
        <v>float</v>
      </c>
      <c r="D236" s="6" t="str">
        <f>'02-variable-info'!H236</f>
        <v>number</v>
      </c>
    </row>
    <row r="237">
      <c r="A237" s="6" t="str">
        <f>'02-variable-info'!A237</f>
        <v>02-02-cardiovascular.csv</v>
      </c>
      <c r="B237" s="6" t="str">
        <f>'02-variable-info'!B237</f>
        <v>cardioDiastolicBloodPressure_mmHg</v>
      </c>
      <c r="C237" s="6" t="str">
        <f>'02-variable-info'!M237</f>
        <v>float</v>
      </c>
      <c r="D237" s="6" t="str">
        <f>'02-variable-info'!H237</f>
        <v>number</v>
      </c>
    </row>
    <row r="238">
      <c r="A238" s="6" t="str">
        <f>'02-variable-info'!A238</f>
        <v>02-02-cardiovascular.csv</v>
      </c>
      <c r="B238" s="6" t="str">
        <f>'02-variable-info'!B238</f>
        <v>cardioHeartRate_BPM</v>
      </c>
      <c r="C238" s="6" t="str">
        <f>'02-variable-info'!M238</f>
        <v>float</v>
      </c>
      <c r="D238" s="6" t="str">
        <f>'02-variable-info'!H238</f>
        <v>number</v>
      </c>
    </row>
    <row r="239">
      <c r="A239" s="6" t="str">
        <f>'02-variable-info'!A239</f>
        <v>02-02-cardiovascular.csv</v>
      </c>
      <c r="B239" s="6" t="str">
        <f>'02-variable-info'!B239</f>
        <v>cardioVolumeExpand</v>
      </c>
      <c r="C239" s="6" t="str">
        <f>'02-variable-info'!M239</f>
        <v>bool</v>
      </c>
      <c r="D239" s="6" t="str">
        <f>'02-variable-info'!H239</f>
        <v>boolean</v>
      </c>
    </row>
    <row r="240">
      <c r="A240" s="6" t="str">
        <f>'02-variable-info'!A240</f>
        <v>02-02-cardiovascular.csv</v>
      </c>
      <c r="B240" s="6" t="str">
        <f>'02-variable-info'!B240</f>
        <v>cardioInotropicAgent</v>
      </c>
      <c r="C240" s="6" t="str">
        <f>'02-variable-info'!M240</f>
        <v>bool</v>
      </c>
      <c r="D240" s="6" t="str">
        <f>'02-variable-info'!H240</f>
        <v>boolean</v>
      </c>
    </row>
    <row r="241">
      <c r="A241" s="6" t="str">
        <f>'02-variable-info'!A241</f>
        <v>02-02-cardiovascular.csv</v>
      </c>
      <c r="B241" s="6" t="str">
        <f>'02-variable-info'!B241</f>
        <v>cardioBloodTransfusion</v>
      </c>
      <c r="C241" s="6" t="str">
        <f>'02-variable-info'!M241</f>
        <v>bool</v>
      </c>
      <c r="D241" s="6" t="str">
        <f>'02-variable-info'!H241</f>
        <v>boolean</v>
      </c>
    </row>
    <row r="242">
      <c r="A242" s="6" t="str">
        <f>'02-variable-info'!A242</f>
        <v>02-02-cardiovascular.csv</v>
      </c>
      <c r="B242" s="6" t="str">
        <f>'02-variable-info'!B242</f>
        <v>cardioPlatelets</v>
      </c>
      <c r="C242" s="6" t="str">
        <f>'02-variable-info'!M242</f>
        <v>bool</v>
      </c>
      <c r="D242" s="6" t="str">
        <f>'02-variable-info'!H242</f>
        <v>boolean</v>
      </c>
    </row>
    <row r="243">
      <c r="A243" s="6" t="str">
        <f>'02-variable-info'!A243</f>
        <v>02-03-respiratory.csv</v>
      </c>
      <c r="B243" s="6" t="str">
        <f>'02-variable-info'!B243</f>
        <v>respiratoryTimeSlot_min</v>
      </c>
      <c r="C243" s="6" t="str">
        <f>'02-variable-info'!M243</f>
        <v>int</v>
      </c>
      <c r="D243" s="6" t="str">
        <f>'02-variable-info'!H243</f>
        <v>number</v>
      </c>
    </row>
    <row r="244">
      <c r="A244" s="6" t="str">
        <f>'02-variable-info'!A244</f>
        <v>02-03-respiratory.csv</v>
      </c>
      <c r="B244" s="6" t="str">
        <f>'02-variable-info'!B244</f>
        <v>respiratoryDate</v>
      </c>
      <c r="C244" s="6" t="str">
        <f>'02-variable-info'!M244</f>
        <v>date</v>
      </c>
      <c r="D244" s="6" t="str">
        <f>'02-variable-info'!H244</f>
        <v>date</v>
      </c>
    </row>
    <row r="245">
      <c r="A245" s="6" t="str">
        <f>'02-variable-info'!A245</f>
        <v>02-03-respiratory.csv</v>
      </c>
      <c r="B245" s="6" t="str">
        <f>'02-variable-info'!B245</f>
        <v>respiratoryTime</v>
      </c>
      <c r="C245" s="6" t="str">
        <f>'02-variable-info'!M245</f>
        <v>time</v>
      </c>
      <c r="D245" s="6" t="str">
        <f>'02-variable-info'!H245</f>
        <v>time</v>
      </c>
    </row>
    <row r="246">
      <c r="A246" s="6" t="str">
        <f>'02-variable-info'!A246</f>
        <v>02-03-respiratory.csv</v>
      </c>
      <c r="B246" s="6" t="str">
        <f>'02-variable-info'!B246</f>
        <v>respiratorySupportType</v>
      </c>
      <c r="C246" s="6" t="str">
        <f>'02-variable-info'!M246</f>
        <v>respiratorySupportType</v>
      </c>
      <c r="D246" s="6" t="str">
        <f>'02-variable-info'!H246</f>
        <v>nomial</v>
      </c>
    </row>
    <row r="247">
      <c r="A247" s="6" t="str">
        <f>'02-variable-info'!A247</f>
        <v>02-03-respiratory.csv</v>
      </c>
      <c r="B247" s="6" t="str">
        <f>'02-variable-info'!B247</f>
        <v>respiratoryFiO2</v>
      </c>
      <c r="C247" s="6" t="str">
        <f>'02-variable-info'!M247</f>
        <v>float</v>
      </c>
      <c r="D247" s="6" t="str">
        <f>'02-variable-info'!H247</f>
        <v>number</v>
      </c>
    </row>
    <row r="248">
      <c r="A248" s="6" t="str">
        <f>'02-variable-info'!A248</f>
        <v>02-03-respiratory.csv</v>
      </c>
      <c r="B248" s="6" t="str">
        <f>'02-variable-info'!B248</f>
        <v>respiratoryRate_Hz</v>
      </c>
      <c r="C248" s="6" t="str">
        <f>'02-variable-info'!M248</f>
        <v>float</v>
      </c>
      <c r="D248" s="6" t="str">
        <f>'02-variable-info'!H248</f>
        <v>number</v>
      </c>
    </row>
    <row r="249">
      <c r="A249" s="6" t="str">
        <f>'02-variable-info'!A249</f>
        <v>02-03-respiratory.csv</v>
      </c>
      <c r="B249" s="6" t="str">
        <f>'02-variable-info'!B249</f>
        <v>respiratoryPIP_cmH2O</v>
      </c>
      <c r="C249" s="6" t="str">
        <f>'02-variable-info'!M249</f>
        <v>float</v>
      </c>
      <c r="D249" s="6" t="str">
        <f>'02-variable-info'!H249</f>
        <v>number</v>
      </c>
    </row>
    <row r="250">
      <c r="A250" s="6" t="str">
        <f>'02-variable-info'!A250</f>
        <v>02-03-respiratory.csv</v>
      </c>
      <c r="B250" s="6" t="str">
        <f>'02-variable-info'!B250</f>
        <v>respiratoryMAP_cmH2O</v>
      </c>
      <c r="C250" s="6" t="str">
        <f>'02-variable-info'!M250</f>
        <v>float</v>
      </c>
      <c r="D250" s="6" t="str">
        <f>'02-variable-info'!H250</f>
        <v>number</v>
      </c>
    </row>
    <row r="251">
      <c r="A251" s="6" t="str">
        <f>'02-variable-info'!A251</f>
        <v>02-03-respiratory.csv</v>
      </c>
      <c r="B251" s="6" t="str">
        <f>'02-variable-info'!B251</f>
        <v>respiratoryPEEP_cmH2O</v>
      </c>
      <c r="C251" s="6" t="str">
        <f>'02-variable-info'!M251</f>
        <v>float</v>
      </c>
      <c r="D251" s="6" t="str">
        <f>'02-variable-info'!H251</f>
        <v>number</v>
      </c>
    </row>
    <row r="252">
      <c r="A252" s="6" t="str">
        <f>'02-variable-info'!A252</f>
        <v>02-04-blood-gas.csv</v>
      </c>
      <c r="B252" s="6" t="str">
        <f>'02-variable-info'!B252</f>
        <v>bloodGasTimeSlot_min</v>
      </c>
      <c r="C252" s="6" t="str">
        <f>'02-variable-info'!M252</f>
        <v>int</v>
      </c>
      <c r="D252" s="6" t="str">
        <f>'02-variable-info'!H252</f>
        <v>number</v>
      </c>
    </row>
    <row r="253">
      <c r="A253" s="6" t="str">
        <f>'02-variable-info'!A253</f>
        <v>02-04-blood-gas.csv</v>
      </c>
      <c r="B253" s="6" t="str">
        <f>'02-variable-info'!B253</f>
        <v>bloodGasDate</v>
      </c>
      <c r="C253" s="6" t="str">
        <f>'02-variable-info'!M253</f>
        <v>date</v>
      </c>
      <c r="D253" s="6" t="str">
        <f>'02-variable-info'!H253</f>
        <v>date</v>
      </c>
    </row>
    <row r="254">
      <c r="A254" s="6" t="str">
        <f>'02-variable-info'!A254</f>
        <v>02-04-blood-gas.csv</v>
      </c>
      <c r="B254" s="6" t="str">
        <f>'02-variable-info'!B254</f>
        <v>bloodGasTime</v>
      </c>
      <c r="C254" s="6" t="str">
        <f>'02-variable-info'!M254</f>
        <v>time</v>
      </c>
      <c r="D254" s="6" t="str">
        <f>'02-variable-info'!H254</f>
        <v>time</v>
      </c>
    </row>
    <row r="255">
      <c r="A255" s="6" t="str">
        <f>'02-variable-info'!A255</f>
        <v>02-04-blood-gas.csv</v>
      </c>
      <c r="B255" s="6" t="str">
        <f>'02-variable-info'!B255</f>
        <v>bloodGasSrc</v>
      </c>
      <c r="C255" s="6" t="str">
        <f>'02-variable-info'!M255</f>
        <v>bloodGasSrc</v>
      </c>
      <c r="D255" s="6" t="str">
        <f>'02-variable-info'!H255</f>
        <v>nomial</v>
      </c>
    </row>
    <row r="256">
      <c r="A256" s="6" t="str">
        <f>'02-variable-info'!A256</f>
        <v>02-04-blood-gas.csv</v>
      </c>
      <c r="B256" s="6" t="str">
        <f>'02-variable-info'!B256</f>
        <v>bloodGasPH</v>
      </c>
      <c r="C256" s="6" t="str">
        <f>'02-variable-info'!M256</f>
        <v>float</v>
      </c>
      <c r="D256" s="6" t="str">
        <f>'02-variable-info'!H256</f>
        <v>number</v>
      </c>
    </row>
    <row r="257">
      <c r="A257" s="6" t="str">
        <f>'02-variable-info'!A257</f>
        <v>02-04-blood-gas.csv</v>
      </c>
      <c r="B257" s="6" t="str">
        <f>'02-variable-info'!B257</f>
        <v>bloodGasPCO2_mmHg</v>
      </c>
      <c r="C257" s="6" t="str">
        <f>'02-variable-info'!M257</f>
        <v>float</v>
      </c>
      <c r="D257" s="6" t="str">
        <f>'02-variable-info'!H257</f>
        <v>number</v>
      </c>
    </row>
    <row r="258">
      <c r="A258" s="6" t="str">
        <f>'02-variable-info'!A258</f>
        <v>02-04-blood-gas.csv</v>
      </c>
      <c r="B258" s="6" t="str">
        <f>'02-variable-info'!B258</f>
        <v>bloodGasPO2_mmHg</v>
      </c>
      <c r="C258" s="6" t="str">
        <f>'02-variable-info'!M258</f>
        <v>float</v>
      </c>
      <c r="D258" s="6" t="str">
        <f>'02-variable-info'!H258</f>
        <v>number</v>
      </c>
    </row>
    <row r="259">
      <c r="A259" s="6" t="str">
        <f>'02-variable-info'!A259</f>
        <v>02-04-blood-gas.csv</v>
      </c>
      <c r="B259" s="6" t="str">
        <f>'02-variable-info'!B259</f>
        <v>bloodGasHCO3_mEqPerL</v>
      </c>
      <c r="C259" s="6" t="str">
        <f>'02-variable-info'!M259</f>
        <v>float</v>
      </c>
      <c r="D259" s="6" t="str">
        <f>'02-variable-info'!H259</f>
        <v>number</v>
      </c>
    </row>
    <row r="260">
      <c r="A260" s="6" t="str">
        <f>'02-variable-info'!A260</f>
        <v>02-04-blood-gas.csv</v>
      </c>
      <c r="B260" s="6" t="str">
        <f>'02-variable-info'!B260</f>
        <v>bloodGasBaseDeficit_mEqPerL</v>
      </c>
      <c r="C260" s="6" t="str">
        <f>'02-variable-info'!M260</f>
        <v>float</v>
      </c>
      <c r="D260" s="6" t="str">
        <f>'02-variable-info'!H260</f>
        <v>number</v>
      </c>
    </row>
    <row r="261">
      <c r="A261" s="6" t="str">
        <f>'02-variable-info'!A261</f>
        <v>02-04-blood-gas.csv</v>
      </c>
      <c r="B261" s="6" t="str">
        <f>'02-variable-info'!B261</f>
        <v>bloodGasPHCorrect</v>
      </c>
      <c r="C261" s="6" t="str">
        <f>'02-variable-info'!M261</f>
        <v>float</v>
      </c>
      <c r="D261" s="6" t="str">
        <f>'02-variable-info'!H261</f>
        <v>number</v>
      </c>
    </row>
    <row r="262">
      <c r="A262" s="6" t="str">
        <f>'02-variable-info'!A262</f>
        <v>02-04-blood-gas.csv</v>
      </c>
      <c r="B262" s="6" t="str">
        <f>'02-variable-info'!B262</f>
        <v>bloodGasPCO2Correct_mmHg</v>
      </c>
      <c r="C262" s="6" t="str">
        <f>'02-variable-info'!M262</f>
        <v>float</v>
      </c>
      <c r="D262" s="6" t="str">
        <f>'02-variable-info'!H262</f>
        <v>number</v>
      </c>
    </row>
    <row r="263">
      <c r="A263" s="6" t="str">
        <f>'02-variable-info'!A263</f>
        <v>02-04-blood-gas.csv</v>
      </c>
      <c r="B263" s="6" t="str">
        <f>'02-variable-info'!B263</f>
        <v>bloodGasPO2Correct_mmHg</v>
      </c>
      <c r="C263" s="6" t="str">
        <f>'02-variable-info'!M263</f>
        <v>float</v>
      </c>
      <c r="D263" s="6" t="str">
        <f>'02-variable-info'!H263</f>
        <v>number</v>
      </c>
    </row>
    <row r="264">
      <c r="A264" s="6" t="str">
        <f>'02-variable-info'!A264</f>
        <v>02-04-blood-gas.csv</v>
      </c>
      <c r="B264" s="6" t="str">
        <f>'02-variable-info'!B264</f>
        <v>bloodGasHCO3Correct_mEqPerL</v>
      </c>
      <c r="C264" s="6" t="str">
        <f>'02-variable-info'!M264</f>
        <v>float</v>
      </c>
      <c r="D264" s="6" t="str">
        <f>'02-variable-info'!H264</f>
        <v>number</v>
      </c>
    </row>
    <row r="265">
      <c r="A265" s="6" t="str">
        <f>'02-variable-info'!A265</f>
        <v>02-04-blood-gas.csv</v>
      </c>
      <c r="B265" s="6" t="str">
        <f>'02-variable-info'!B265</f>
        <v>bloodGasBaseDeficitCorrect_mEqPerL</v>
      </c>
      <c r="C265" s="6" t="str">
        <f>'02-variable-info'!M265</f>
        <v>float</v>
      </c>
      <c r="D265" s="6" t="str">
        <f>'02-variable-info'!H265</f>
        <v>number</v>
      </c>
    </row>
    <row r="266">
      <c r="A266" s="6" t="str">
        <f>'02-variable-info'!A266</f>
        <v>02-05-hematology.csv</v>
      </c>
      <c r="B266" s="6" t="str">
        <f>'02-variable-info'!B266</f>
        <v>hematology</v>
      </c>
      <c r="C266" s="6" t="str">
        <f>'02-variable-info'!M266</f>
        <v>bool</v>
      </c>
      <c r="D266" s="6" t="str">
        <f>'02-variable-info'!H266</f>
        <v>boolean</v>
      </c>
    </row>
    <row r="267">
      <c r="A267" s="6" t="str">
        <f>'02-variable-info'!A267</f>
        <v>02-05-hematology.csv</v>
      </c>
      <c r="B267" s="6" t="str">
        <f>'02-variable-info'!B267</f>
        <v>hematologyTimeSlot_min</v>
      </c>
      <c r="C267" s="6" t="str">
        <f>'02-variable-info'!M267</f>
        <v>int</v>
      </c>
      <c r="D267" s="6" t="str">
        <f>'02-variable-info'!H267</f>
        <v>number</v>
      </c>
    </row>
    <row r="268">
      <c r="A268" s="6" t="str">
        <f>'02-variable-info'!A268</f>
        <v>02-05-hematology.csv</v>
      </c>
      <c r="B268" s="6" t="str">
        <f>'02-variable-info'!B268</f>
        <v>hematologyDate</v>
      </c>
      <c r="C268" s="6" t="str">
        <f>'02-variable-info'!M268</f>
        <v>date</v>
      </c>
      <c r="D268" s="6" t="str">
        <f>'02-variable-info'!H268</f>
        <v>date</v>
      </c>
    </row>
    <row r="269">
      <c r="A269" s="6" t="str">
        <f>'02-variable-info'!A269</f>
        <v>02-05-hematology.csv</v>
      </c>
      <c r="B269" s="6" t="str">
        <f>'02-variable-info'!B269</f>
        <v>hematologyTime</v>
      </c>
      <c r="C269" s="6" t="str">
        <f>'02-variable-info'!M269</f>
        <v>time</v>
      </c>
      <c r="D269" s="6" t="str">
        <f>'02-variable-info'!H269</f>
        <v>time</v>
      </c>
    </row>
    <row r="270">
      <c r="A270" s="6" t="str">
        <f>'02-variable-info'!A270</f>
        <v>02-05-hematology.csv</v>
      </c>
      <c r="B270" s="6" t="str">
        <f>'02-variable-info'!B270</f>
        <v>hematologyWBC_cPermuL</v>
      </c>
      <c r="C270" s="6" t="str">
        <f>'02-variable-info'!M270</f>
        <v>float</v>
      </c>
      <c r="D270" s="6" t="str">
        <f>'02-variable-info'!H270</f>
        <v>number</v>
      </c>
    </row>
    <row r="271">
      <c r="A271" s="6" t="str">
        <f>'02-variable-info'!A271</f>
        <v>02-05-hematology.csv</v>
      </c>
      <c r="B271" s="6" t="str">
        <f>'02-variable-info'!B271</f>
        <v>hematologyHemoglobin_gPerdL</v>
      </c>
      <c r="C271" s="6" t="str">
        <f>'02-variable-info'!M271</f>
        <v>float</v>
      </c>
      <c r="D271" s="6" t="str">
        <f>'02-variable-info'!H271</f>
        <v>number</v>
      </c>
    </row>
    <row r="272">
      <c r="A272" s="6" t="str">
        <f>'02-variable-info'!A272</f>
        <v>02-05-hematology.csv</v>
      </c>
      <c r="B272" s="6" t="str">
        <f>'02-variable-info'!B272</f>
        <v>hematologyPolymorphNeutrophils_cPermuL</v>
      </c>
      <c r="C272" s="6" t="str">
        <f>'02-variable-info'!M272</f>
        <v>float</v>
      </c>
      <c r="D272" s="6" t="str">
        <f>'02-variable-info'!H272</f>
        <v>number</v>
      </c>
    </row>
    <row r="273">
      <c r="A273" s="6" t="str">
        <f>'02-variable-info'!A273</f>
        <v>02-05-hematology.csv</v>
      </c>
      <c r="B273" s="6" t="str">
        <f>'02-variable-info'!B273</f>
        <v>hematologyMonocytes_cPermuL</v>
      </c>
      <c r="C273" s="6" t="str">
        <f>'02-variable-info'!M273</f>
        <v>float</v>
      </c>
      <c r="D273" s="6" t="str">
        <f>'02-variable-info'!H273</f>
        <v>number</v>
      </c>
    </row>
    <row r="274">
      <c r="A274" s="6" t="str">
        <f>'02-variable-info'!A274</f>
        <v>02-05-hematology.csv</v>
      </c>
      <c r="B274" s="6" t="str">
        <f>'02-variable-info'!B274</f>
        <v>hematologyLymphocytes_cPermuL</v>
      </c>
      <c r="C274" s="6" t="str">
        <f>'02-variable-info'!M274</f>
        <v>float</v>
      </c>
      <c r="D274" s="6" t="str">
        <f>'02-variable-info'!H274</f>
        <v>number</v>
      </c>
    </row>
    <row r="275">
      <c r="A275" s="6" t="str">
        <f>'02-variable-info'!A275</f>
        <v>02-05-hematology.csv</v>
      </c>
      <c r="B275" s="6" t="str">
        <f>'02-variable-info'!B275</f>
        <v>hematologyPlatelet_cPermuL</v>
      </c>
      <c r="C275" s="6" t="str">
        <f>'02-variable-info'!M275</f>
        <v>float</v>
      </c>
      <c r="D275" s="6" t="str">
        <f>'02-variable-info'!H275</f>
        <v>number</v>
      </c>
    </row>
    <row r="276">
      <c r="A276" s="6" t="str">
        <f>'02-variable-info'!A276</f>
        <v>02-05-hematology.csv</v>
      </c>
      <c r="B276" s="6" t="str">
        <f>'02-variable-info'!B276</f>
        <v>hematologyPT_s</v>
      </c>
      <c r="C276" s="6" t="str">
        <f>'02-variable-info'!M276</f>
        <v>float</v>
      </c>
      <c r="D276" s="6" t="str">
        <f>'02-variable-info'!H276</f>
        <v>number</v>
      </c>
    </row>
    <row r="277">
      <c r="A277" s="6" t="str">
        <f>'02-variable-info'!A277</f>
        <v>02-05-hematology.csv</v>
      </c>
      <c r="B277" s="6" t="str">
        <f>'02-variable-info'!B277</f>
        <v>hematologyPTT_s</v>
      </c>
      <c r="C277" s="6" t="str">
        <f>'02-variable-info'!M277</f>
        <v>float</v>
      </c>
      <c r="D277" s="6" t="str">
        <f>'02-variable-info'!H277</f>
        <v>number</v>
      </c>
    </row>
    <row r="278">
      <c r="A278" s="6" t="str">
        <f>'02-variable-info'!A278</f>
        <v>02-05_s-hematology.csv</v>
      </c>
      <c r="B278" s="6" t="str">
        <f>'02-variable-info'!B278</f>
        <v>hematologyHematocritMin</v>
      </c>
      <c r="C278" s="6" t="str">
        <f>'02-variable-info'!M278</f>
        <v>float</v>
      </c>
      <c r="D278" s="6" t="str">
        <f>'02-variable-info'!H278</f>
        <v>number</v>
      </c>
    </row>
    <row r="279">
      <c r="A279" s="6" t="str">
        <f>'02-variable-info'!A279</f>
        <v>02-05_s-hematology.csv</v>
      </c>
      <c r="B279" s="6" t="str">
        <f>'02-variable-info'!B279</f>
        <v>hematologyHematocritMinDate</v>
      </c>
      <c r="C279" s="6" t="str">
        <f>'02-variable-info'!M279</f>
        <v>date</v>
      </c>
      <c r="D279" s="6" t="str">
        <f>'02-variable-info'!H279</f>
        <v>date</v>
      </c>
    </row>
    <row r="280">
      <c r="A280" s="6" t="str">
        <f>'02-variable-info'!A280</f>
        <v>02-05_s-hematology.csv</v>
      </c>
      <c r="B280" s="6" t="str">
        <f>'02-variable-info'!B280</f>
        <v>hematologyPlateletMin_cPermuL</v>
      </c>
      <c r="C280" s="6" t="str">
        <f>'02-variable-info'!M280</f>
        <v>float</v>
      </c>
      <c r="D280" s="6" t="str">
        <f>'02-variable-info'!H280</f>
        <v>number</v>
      </c>
    </row>
    <row r="281">
      <c r="A281" s="6" t="str">
        <f>'02-variable-info'!A281</f>
        <v>02-05_s-hematology.csv</v>
      </c>
      <c r="B281" s="6" t="str">
        <f>'02-variable-info'!B281</f>
        <v>hematologyPlateletMin_cPermuLDate</v>
      </c>
      <c r="C281" s="6" t="str">
        <f>'02-variable-info'!M281</f>
        <v>date</v>
      </c>
      <c r="D281" s="6" t="str">
        <f>'02-variable-info'!H281</f>
        <v>date</v>
      </c>
    </row>
    <row r="282">
      <c r="A282" s="6" t="str">
        <f>'02-variable-info'!A282</f>
        <v>02-06_s-blood-value.csv</v>
      </c>
      <c r="B282" s="6" t="str">
        <f>'02-variable-info'!B282</f>
        <v>bloodValueBunBaseline_mgPerdL</v>
      </c>
      <c r="C282" s="6" t="str">
        <f>'02-variable-info'!M282</f>
        <v>float</v>
      </c>
      <c r="D282" s="6" t="str">
        <f>'02-variable-info'!H282</f>
        <v>number</v>
      </c>
    </row>
    <row r="283">
      <c r="A283" s="6" t="str">
        <f>'02-variable-info'!A283</f>
        <v>02-06_s-blood-value.csv</v>
      </c>
      <c r="B283" s="6" t="str">
        <f>'02-variable-info'!B283</f>
        <v>bloodValueBunBaseline_mgPerdLDate</v>
      </c>
      <c r="C283" s="6" t="str">
        <f>'02-variable-info'!M283</f>
        <v>date</v>
      </c>
      <c r="D283" s="6" t="str">
        <f>'02-variable-info'!H283</f>
        <v>date</v>
      </c>
    </row>
    <row r="284">
      <c r="A284" s="6" t="str">
        <f>'02-variable-info'!A284</f>
        <v>02-06_s-blood-value.csv</v>
      </c>
      <c r="B284" s="6" t="str">
        <f>'02-variable-info'!B284</f>
        <v>bloodValueCreatinineBaseline_mgPerdL</v>
      </c>
      <c r="C284" s="6" t="str">
        <f>'02-variable-info'!M284</f>
        <v>float</v>
      </c>
      <c r="D284" s="6" t="str">
        <f>'02-variable-info'!H284</f>
        <v>number</v>
      </c>
    </row>
    <row r="285">
      <c r="A285" s="6" t="str">
        <f>'02-variable-info'!A285</f>
        <v>02-06_s-blood-value.csv</v>
      </c>
      <c r="B285" s="6" t="str">
        <f>'02-variable-info'!B285</f>
        <v>bloodValueCreatinineBaseline_mgPerdLDate</v>
      </c>
      <c r="C285" s="6" t="str">
        <f>'02-variable-info'!M285</f>
        <v>date</v>
      </c>
      <c r="D285" s="6" t="str">
        <f>'02-variable-info'!H285</f>
        <v>date</v>
      </c>
    </row>
    <row r="286">
      <c r="A286" s="6" t="str">
        <f>'02-variable-info'!A286</f>
        <v>02-06_s-blood-value.csv</v>
      </c>
      <c r="B286" s="6" t="str">
        <f>'02-variable-info'!B286</f>
        <v>bloodValueASTSGOTBaseline_UPerL</v>
      </c>
      <c r="C286" s="6" t="str">
        <f>'02-variable-info'!M286</f>
        <v>float</v>
      </c>
      <c r="D286" s="6" t="str">
        <f>'02-variable-info'!H286</f>
        <v>number</v>
      </c>
    </row>
    <row r="287">
      <c r="A287" s="6" t="str">
        <f>'02-variable-info'!A287</f>
        <v>02-06_s-blood-value.csv</v>
      </c>
      <c r="B287" s="6" t="str">
        <f>'02-variable-info'!B287</f>
        <v>bloodValueASTSGOTBaseline_UPerLDate</v>
      </c>
      <c r="C287" s="6" t="str">
        <f>'02-variable-info'!M287</f>
        <v>date</v>
      </c>
      <c r="D287" s="6" t="str">
        <f>'02-variable-info'!H287</f>
        <v>date</v>
      </c>
    </row>
    <row r="288">
      <c r="A288" s="6" t="str">
        <f>'02-variable-info'!A288</f>
        <v>02-06_s-blood-value.csv</v>
      </c>
      <c r="B288" s="6" t="str">
        <f>'02-variable-info'!B288</f>
        <v>bloodValueALTSGPTBaseline_UPerL</v>
      </c>
      <c r="C288" s="6" t="str">
        <f>'02-variable-info'!M288</f>
        <v>float</v>
      </c>
      <c r="D288" s="6" t="str">
        <f>'02-variable-info'!H288</f>
        <v>number</v>
      </c>
    </row>
    <row r="289">
      <c r="A289" s="6" t="str">
        <f>'02-variable-info'!A289</f>
        <v>02-06_s-blood-value.csv</v>
      </c>
      <c r="B289" s="6" t="str">
        <f>'02-variable-info'!B289</f>
        <v>bloodValueALTSGPTBaseline_UPerLDate</v>
      </c>
      <c r="C289" s="6" t="str">
        <f>'02-variable-info'!M289</f>
        <v>date</v>
      </c>
      <c r="D289" s="6" t="str">
        <f>'02-variable-info'!H289</f>
        <v>date</v>
      </c>
    </row>
    <row r="290">
      <c r="A290" s="6" t="str">
        <f>'02-variable-info'!A290</f>
        <v>02-06_s-blood-value.csv</v>
      </c>
      <c r="B290" s="6" t="str">
        <f>'02-variable-info'!B290</f>
        <v>bloodValueTotalBilirubinBaseline_mgPerdL</v>
      </c>
      <c r="C290" s="6" t="str">
        <f>'02-variable-info'!M290</f>
        <v>float</v>
      </c>
      <c r="D290" s="6" t="str">
        <f>'02-variable-info'!H290</f>
        <v>number</v>
      </c>
    </row>
    <row r="291">
      <c r="A291" s="6" t="str">
        <f>'02-variable-info'!A291</f>
        <v>02-06_s-blood-value.csv</v>
      </c>
      <c r="B291" s="6" t="str">
        <f>'02-variable-info'!B291</f>
        <v>bloodValueTotalBilirubinBaseline_mgPerdLDate</v>
      </c>
      <c r="C291" s="6" t="str">
        <f>'02-variable-info'!M291</f>
        <v>date</v>
      </c>
      <c r="D291" s="6" t="str">
        <f>'02-variable-info'!H291</f>
        <v>date</v>
      </c>
    </row>
    <row r="292">
      <c r="A292" s="6" t="str">
        <f>'02-variable-info'!A292</f>
        <v>02-06_s-blood-value.csv</v>
      </c>
      <c r="B292" s="6" t="str">
        <f>'02-variable-info'!B292</f>
        <v>bloodValuePHMin</v>
      </c>
      <c r="C292" s="6" t="str">
        <f>'02-variable-info'!M292</f>
        <v>float</v>
      </c>
      <c r="D292" s="6" t="str">
        <f>'02-variable-info'!H292</f>
        <v>number</v>
      </c>
    </row>
    <row r="293">
      <c r="A293" s="6" t="str">
        <f>'02-variable-info'!A293</f>
        <v>02-06_s-blood-value.csv</v>
      </c>
      <c r="B293" s="6" t="str">
        <f>'02-variable-info'!B293</f>
        <v>bloodValuePHMinDate</v>
      </c>
      <c r="C293" s="6" t="str">
        <f>'02-variable-info'!M293</f>
        <v>date</v>
      </c>
      <c r="D293" s="6" t="str">
        <f>'02-variable-info'!H293</f>
        <v>date</v>
      </c>
    </row>
    <row r="294">
      <c r="A294" s="6" t="str">
        <f>'02-variable-info'!A294</f>
        <v>02-06_s-blood-value.csv</v>
      </c>
      <c r="B294" s="6" t="str">
        <f>'02-variable-info'!B294</f>
        <v>bloodValueHCO3Min_mEqPerL</v>
      </c>
      <c r="C294" s="6" t="str">
        <f>'02-variable-info'!M294</f>
        <v>float</v>
      </c>
      <c r="D294" s="6" t="str">
        <f>'02-variable-info'!H294</f>
        <v>number</v>
      </c>
    </row>
    <row r="295">
      <c r="A295" s="6" t="str">
        <f>'02-variable-info'!A295</f>
        <v>02-06_s-blood-value.csv</v>
      </c>
      <c r="B295" s="6" t="str">
        <f>'02-variable-info'!B295</f>
        <v>bloodValueHCO3Min_mEqPerLDate</v>
      </c>
      <c r="C295" s="6" t="str">
        <f>'02-variable-info'!M295</f>
        <v>date</v>
      </c>
      <c r="D295" s="6" t="str">
        <f>'02-variable-info'!H295</f>
        <v>date</v>
      </c>
    </row>
    <row r="296">
      <c r="A296" s="6" t="str">
        <f>'02-variable-info'!A296</f>
        <v>02-06_s-blood-value.csv</v>
      </c>
      <c r="B296" s="6" t="str">
        <f>'02-variable-info'!B296</f>
        <v>bloodValueSerumNaMin_mEqPerL</v>
      </c>
      <c r="C296" s="6" t="str">
        <f>'02-variable-info'!M296</f>
        <v>float</v>
      </c>
      <c r="D296" s="6" t="str">
        <f>'02-variable-info'!H296</f>
        <v>number</v>
      </c>
    </row>
    <row r="297">
      <c r="A297" s="6" t="str">
        <f>'02-variable-info'!A297</f>
        <v>02-06_s-blood-value.csv</v>
      </c>
      <c r="B297" s="6" t="str">
        <f>'02-variable-info'!B297</f>
        <v>bloodValueSerumNaMin_mEqPerLDate</v>
      </c>
      <c r="C297" s="6" t="str">
        <f>'02-variable-info'!M297</f>
        <v>date</v>
      </c>
      <c r="D297" s="6" t="str">
        <f>'02-variable-info'!H297</f>
        <v>date</v>
      </c>
    </row>
    <row r="298">
      <c r="A298" s="6" t="str">
        <f>'02-variable-info'!A298</f>
        <v>02-06_s-blood-value.csv</v>
      </c>
      <c r="B298" s="6" t="str">
        <f>'02-variable-info'!B298</f>
        <v>bloodValueSerumKMin_mEqPerL</v>
      </c>
      <c r="C298" s="6" t="str">
        <f>'02-variable-info'!M298</f>
        <v>float</v>
      </c>
      <c r="D298" s="6" t="str">
        <f>'02-variable-info'!H298</f>
        <v>number</v>
      </c>
    </row>
    <row r="299">
      <c r="A299" s="6" t="str">
        <f>'02-variable-info'!A299</f>
        <v>02-06_s-blood-value.csv</v>
      </c>
      <c r="B299" s="6" t="str">
        <f>'02-variable-info'!B299</f>
        <v>bloodValueSerumKMin_mEqPerLDate</v>
      </c>
      <c r="C299" s="6" t="str">
        <f>'02-variable-info'!M299</f>
        <v>date</v>
      </c>
      <c r="D299" s="6" t="str">
        <f>'02-variable-info'!H299</f>
        <v>date</v>
      </c>
    </row>
    <row r="300">
      <c r="A300" s="6" t="str">
        <f>'02-variable-info'!A300</f>
        <v>02-06_s-blood-value.csv</v>
      </c>
      <c r="B300" s="6" t="str">
        <f>'02-variable-info'!B300</f>
        <v>bloodValueClMin_mEqPerL</v>
      </c>
      <c r="C300" s="6" t="str">
        <f>'02-variable-info'!M300</f>
        <v>float</v>
      </c>
      <c r="D300" s="6" t="str">
        <f>'02-variable-info'!H300</f>
        <v>number</v>
      </c>
    </row>
    <row r="301">
      <c r="A301" s="6" t="str">
        <f>'02-variable-info'!A301</f>
        <v>02-06_s-blood-value.csv</v>
      </c>
      <c r="B301" s="6" t="str">
        <f>'02-variable-info'!B301</f>
        <v>bloodValueClMin_mEqPerLDate</v>
      </c>
      <c r="C301" s="6" t="str">
        <f>'02-variable-info'!M301</f>
        <v>date</v>
      </c>
      <c r="D301" s="6" t="str">
        <f>'02-variable-info'!H301</f>
        <v>date</v>
      </c>
    </row>
    <row r="302">
      <c r="A302" s="6" t="str">
        <f>'02-variable-info'!A302</f>
        <v>02-06_s-blood-value.csv</v>
      </c>
      <c r="B302" s="6" t="str">
        <f>'02-variable-info'!B302</f>
        <v>bloodValueGlucoseMin_mgPerdL</v>
      </c>
      <c r="C302" s="6" t="str">
        <f>'02-variable-info'!M302</f>
        <v>float</v>
      </c>
      <c r="D302" s="6" t="str">
        <f>'02-variable-info'!H302</f>
        <v>number</v>
      </c>
    </row>
    <row r="303">
      <c r="A303" s="6" t="str">
        <f>'02-variable-info'!A303</f>
        <v>02-06_s-blood-value.csv</v>
      </c>
      <c r="B303" s="6" t="str">
        <f>'02-variable-info'!B303</f>
        <v>bloodValueGlucoseMin_mgPerdLDate</v>
      </c>
      <c r="C303" s="6" t="str">
        <f>'02-variable-info'!M303</f>
        <v>date</v>
      </c>
      <c r="D303" s="6" t="str">
        <f>'02-variable-info'!H303</f>
        <v>date</v>
      </c>
    </row>
    <row r="304">
      <c r="A304" s="6" t="str">
        <f>'02-variable-info'!A304</f>
        <v>02-06_s-blood-value.csv</v>
      </c>
      <c r="B304" s="6" t="str">
        <f>'02-variable-info'!B304</f>
        <v>bloodValueTotalCaMin_mgPerdL</v>
      </c>
      <c r="C304" s="6" t="str">
        <f>'02-variable-info'!M304</f>
        <v>float</v>
      </c>
      <c r="D304" s="6" t="str">
        <f>'02-variable-info'!H304</f>
        <v>number</v>
      </c>
    </row>
    <row r="305">
      <c r="A305" s="6" t="str">
        <f>'02-variable-info'!A305</f>
        <v>02-06_s-blood-value.csv</v>
      </c>
      <c r="B305" s="6" t="str">
        <f>'02-variable-info'!B305</f>
        <v>bloodValueTotalCaMin_mgPerdLDate</v>
      </c>
      <c r="C305" s="6" t="str">
        <f>'02-variable-info'!M305</f>
        <v>date</v>
      </c>
      <c r="D305" s="6" t="str">
        <f>'02-variable-info'!H305</f>
        <v>date</v>
      </c>
    </row>
    <row r="306">
      <c r="A306" s="6" t="str">
        <f>'02-variable-info'!A306</f>
        <v>02-06_s-blood-value.csv</v>
      </c>
      <c r="B306" s="6" t="str">
        <f>'02-variable-info'!B306</f>
        <v>bloodValueIonCaMin_mgPerdL</v>
      </c>
      <c r="C306" s="6" t="str">
        <f>'02-variable-info'!M306</f>
        <v>float</v>
      </c>
      <c r="D306" s="6" t="str">
        <f>'02-variable-info'!H306</f>
        <v>number</v>
      </c>
    </row>
    <row r="307">
      <c r="A307" s="6" t="str">
        <f>'02-variable-info'!A307</f>
        <v>02-06_s-blood-value.csv</v>
      </c>
      <c r="B307" s="6" t="str">
        <f>'02-variable-info'!B307</f>
        <v>bloodValueIonCaMin_mgPerdLDate</v>
      </c>
      <c r="C307" s="6" t="str">
        <f>'02-variable-info'!M307</f>
        <v>date</v>
      </c>
      <c r="D307" s="6" t="str">
        <f>'02-variable-info'!H307</f>
        <v>date</v>
      </c>
    </row>
    <row r="308">
      <c r="A308" s="6" t="str">
        <f>'02-variable-info'!A308</f>
        <v>02-06_s-blood-value.csv</v>
      </c>
      <c r="B308" s="6" t="str">
        <f>'02-variable-info'!B308</f>
        <v>bloodValueASTSGOTMin_UPerL</v>
      </c>
      <c r="C308" s="6" t="str">
        <f>'02-variable-info'!M308</f>
        <v>float</v>
      </c>
      <c r="D308" s="6" t="str">
        <f>'02-variable-info'!H308</f>
        <v>number</v>
      </c>
    </row>
    <row r="309">
      <c r="A309" s="6" t="str">
        <f>'02-variable-info'!A309</f>
        <v>02-06_s-blood-value.csv</v>
      </c>
      <c r="B309" s="6" t="str">
        <f>'02-variable-info'!B309</f>
        <v>bloodValueASTSGOTMin_UPerLDate</v>
      </c>
      <c r="C309" s="6" t="str">
        <f>'02-variable-info'!M309</f>
        <v>date</v>
      </c>
      <c r="D309" s="6" t="str">
        <f>'02-variable-info'!H309</f>
        <v>date</v>
      </c>
    </row>
    <row r="310">
      <c r="A310" s="6" t="str">
        <f>'02-variable-info'!A310</f>
        <v>02-06_s-blood-value.csv</v>
      </c>
      <c r="B310" s="6" t="str">
        <f>'02-variable-info'!B310</f>
        <v>bloodValueALTSGPTMin_UPerL</v>
      </c>
      <c r="C310" s="6" t="str">
        <f>'02-variable-info'!M310</f>
        <v>float</v>
      </c>
      <c r="D310" s="6" t="str">
        <f>'02-variable-info'!H310</f>
        <v>number</v>
      </c>
    </row>
    <row r="311">
      <c r="A311" s="6" t="str">
        <f>'02-variable-info'!A311</f>
        <v>02-06_s-blood-value.csv</v>
      </c>
      <c r="B311" s="6" t="str">
        <f>'02-variable-info'!B311</f>
        <v>bloodValueALTSGPTMin_UPerLDate</v>
      </c>
      <c r="C311" s="6" t="str">
        <f>'02-variable-info'!M311</f>
        <v>date</v>
      </c>
      <c r="D311" s="6" t="str">
        <f>'02-variable-info'!H311</f>
        <v>date</v>
      </c>
    </row>
    <row r="312">
      <c r="A312" s="6" t="str">
        <f>'02-variable-info'!A312</f>
        <v>02-06_s-blood-value.csv</v>
      </c>
      <c r="B312" s="6" t="str">
        <f>'02-variable-info'!B312</f>
        <v>bloodValueTotalBilirubinMin_mgPerdL</v>
      </c>
      <c r="C312" s="6" t="str">
        <f>'02-variable-info'!M312</f>
        <v>float</v>
      </c>
      <c r="D312" s="6" t="str">
        <f>'02-variable-info'!H312</f>
        <v>number</v>
      </c>
    </row>
    <row r="313">
      <c r="A313" s="6" t="str">
        <f>'02-variable-info'!A313</f>
        <v>02-06_s-blood-value.csv</v>
      </c>
      <c r="B313" s="6" t="str">
        <f>'02-variable-info'!B313</f>
        <v>bloodValueTotalBilirubinMin_mgPerdLDate</v>
      </c>
      <c r="C313" s="6" t="str">
        <f>'02-variable-info'!M313</f>
        <v>date</v>
      </c>
      <c r="D313" s="6" t="str">
        <f>'02-variable-info'!H313</f>
        <v>date</v>
      </c>
    </row>
    <row r="314">
      <c r="A314" s="6" t="str">
        <f>'02-variable-info'!A314</f>
        <v>02-06_s-blood-value.csv</v>
      </c>
      <c r="B314" s="6" t="str">
        <f>'02-variable-info'!B314</f>
        <v>bloodValuePHMax</v>
      </c>
      <c r="C314" s="6" t="str">
        <f>'02-variable-info'!M314</f>
        <v>float</v>
      </c>
      <c r="D314" s="6" t="str">
        <f>'02-variable-info'!H314</f>
        <v>number</v>
      </c>
    </row>
    <row r="315">
      <c r="A315" s="6" t="str">
        <f>'02-variable-info'!A315</f>
        <v>02-06_s-blood-value.csv</v>
      </c>
      <c r="B315" s="6" t="str">
        <f>'02-variable-info'!B315</f>
        <v>bloodValuePHMaxDate</v>
      </c>
      <c r="C315" s="6" t="str">
        <f>'02-variable-info'!M315</f>
        <v>date</v>
      </c>
      <c r="D315" s="6" t="str">
        <f>'02-variable-info'!H315</f>
        <v>date</v>
      </c>
    </row>
    <row r="316">
      <c r="A316" s="6" t="str">
        <f>'02-variable-info'!A316</f>
        <v>02-06_s-blood-value.csv</v>
      </c>
      <c r="B316" s="6" t="str">
        <f>'02-variable-info'!B316</f>
        <v>bloodValueBaseDeficitMax_mEqPerL</v>
      </c>
      <c r="C316" s="6" t="str">
        <f>'02-variable-info'!M316</f>
        <v>float</v>
      </c>
      <c r="D316" s="6" t="str">
        <f>'02-variable-info'!H316</f>
        <v>number</v>
      </c>
    </row>
    <row r="317">
      <c r="A317" s="6" t="str">
        <f>'02-variable-info'!A317</f>
        <v>02-06_s-blood-value.csv</v>
      </c>
      <c r="B317" s="6" t="str">
        <f>'02-variable-info'!B317</f>
        <v>bloodValueBaseDeficitMax_mEqPerLDate</v>
      </c>
      <c r="C317" s="6" t="str">
        <f>'02-variable-info'!M317</f>
        <v>date</v>
      </c>
      <c r="D317" s="6" t="str">
        <f>'02-variable-info'!H317</f>
        <v>date</v>
      </c>
    </row>
    <row r="318">
      <c r="A318" s="6" t="str">
        <f>'02-variable-info'!A318</f>
        <v>02-06_s-blood-value.csv</v>
      </c>
      <c r="B318" s="6" t="str">
        <f>'02-variable-info'!B318</f>
        <v>bloodValueSerumNaMax_mEqPerL</v>
      </c>
      <c r="C318" s="6" t="str">
        <f>'02-variable-info'!M318</f>
        <v>float</v>
      </c>
      <c r="D318" s="6" t="str">
        <f>'02-variable-info'!H318</f>
        <v>number</v>
      </c>
    </row>
    <row r="319">
      <c r="A319" s="6" t="str">
        <f>'02-variable-info'!A319</f>
        <v>02-06_s-blood-value.csv</v>
      </c>
      <c r="B319" s="6" t="str">
        <f>'02-variable-info'!B319</f>
        <v>bloodValueSerumNaMax_mEqPerLDate</v>
      </c>
      <c r="C319" s="6" t="str">
        <f>'02-variable-info'!M319</f>
        <v>date</v>
      </c>
      <c r="D319" s="6" t="str">
        <f>'02-variable-info'!H319</f>
        <v>date</v>
      </c>
    </row>
    <row r="320">
      <c r="A320" s="6" t="str">
        <f>'02-variable-info'!A320</f>
        <v>02-06_s-blood-value.csv</v>
      </c>
      <c r="B320" s="6" t="str">
        <f>'02-variable-info'!B320</f>
        <v>bloodValueSerumKMax_mEqPerL</v>
      </c>
      <c r="C320" s="6" t="str">
        <f>'02-variable-info'!M320</f>
        <v>float</v>
      </c>
      <c r="D320" s="6" t="str">
        <f>'02-variable-info'!H320</f>
        <v>number</v>
      </c>
    </row>
    <row r="321">
      <c r="A321" s="6" t="str">
        <f>'02-variable-info'!A321</f>
        <v>02-06_s-blood-value.csv</v>
      </c>
      <c r="B321" s="6" t="str">
        <f>'02-variable-info'!B321</f>
        <v>bloodValueSerumKMax_mEqPerLDate</v>
      </c>
      <c r="C321" s="6" t="str">
        <f>'02-variable-info'!M321</f>
        <v>date</v>
      </c>
      <c r="D321" s="6" t="str">
        <f>'02-variable-info'!H321</f>
        <v>date</v>
      </c>
    </row>
    <row r="322">
      <c r="A322" s="6" t="str">
        <f>'02-variable-info'!A322</f>
        <v>02-06_s-blood-value.csv</v>
      </c>
      <c r="B322" s="6" t="str">
        <f>'02-variable-info'!B322</f>
        <v>bloodValueClMax_mEqPerL</v>
      </c>
      <c r="C322" s="6" t="str">
        <f>'02-variable-info'!M322</f>
        <v>float</v>
      </c>
      <c r="D322" s="6" t="str">
        <f>'02-variable-info'!H322</f>
        <v>number</v>
      </c>
    </row>
    <row r="323">
      <c r="A323" s="6" t="str">
        <f>'02-variable-info'!A323</f>
        <v>02-06_s-blood-value.csv</v>
      </c>
      <c r="B323" s="6" t="str">
        <f>'02-variable-info'!B323</f>
        <v>bloodValueClMax_mEqPerLDate</v>
      </c>
      <c r="C323" s="6" t="str">
        <f>'02-variable-info'!M323</f>
        <v>date</v>
      </c>
      <c r="D323" s="6" t="str">
        <f>'02-variable-info'!H323</f>
        <v>date</v>
      </c>
    </row>
    <row r="324">
      <c r="A324" s="6" t="str">
        <f>'02-variable-info'!A324</f>
        <v>02-06_s-blood-value.csv</v>
      </c>
      <c r="B324" s="6" t="str">
        <f>'02-variable-info'!B324</f>
        <v>bloodValueBunMax_mgPerdL</v>
      </c>
      <c r="C324" s="6" t="str">
        <f>'02-variable-info'!M324</f>
        <v>float</v>
      </c>
      <c r="D324" s="6" t="str">
        <f>'02-variable-info'!H324</f>
        <v>number</v>
      </c>
    </row>
    <row r="325">
      <c r="A325" s="6" t="str">
        <f>'02-variable-info'!A325</f>
        <v>02-06_s-blood-value.csv</v>
      </c>
      <c r="B325" s="6" t="str">
        <f>'02-variable-info'!B325</f>
        <v>bloodValueBunMax_mgPerdLDate</v>
      </c>
      <c r="C325" s="6" t="str">
        <f>'02-variable-info'!M325</f>
        <v>date</v>
      </c>
      <c r="D325" s="6" t="str">
        <f>'02-variable-info'!H325</f>
        <v>date</v>
      </c>
    </row>
    <row r="326">
      <c r="A326" s="6" t="str">
        <f>'02-variable-info'!A326</f>
        <v>02-06_s-blood-value.csv</v>
      </c>
      <c r="B326" s="6" t="str">
        <f>'02-variable-info'!B326</f>
        <v>bloodValueCreatinineMax_mgPerdL</v>
      </c>
      <c r="C326" s="6" t="str">
        <f>'02-variable-info'!M326</f>
        <v>float</v>
      </c>
      <c r="D326" s="6" t="str">
        <f>'02-variable-info'!H326</f>
        <v>number</v>
      </c>
    </row>
    <row r="327">
      <c r="A327" s="6" t="str">
        <f>'02-variable-info'!A327</f>
        <v>02-06_s-blood-value.csv</v>
      </c>
      <c r="B327" s="6" t="str">
        <f>'02-variable-info'!B327</f>
        <v>bloodValueCreatinineMax_mgPerdLDate</v>
      </c>
      <c r="C327" s="6" t="str">
        <f>'02-variable-info'!M327</f>
        <v>date</v>
      </c>
      <c r="D327" s="6" t="str">
        <f>'02-variable-info'!H327</f>
        <v>date</v>
      </c>
    </row>
    <row r="328">
      <c r="A328" s="6" t="str">
        <f>'02-variable-info'!A328</f>
        <v>02-06_s-blood-value.csv</v>
      </c>
      <c r="B328" s="6" t="str">
        <f>'02-variable-info'!B328</f>
        <v>bloodValueGlucoseMax_mgPerdL</v>
      </c>
      <c r="C328" s="6" t="str">
        <f>'02-variable-info'!M328</f>
        <v>float</v>
      </c>
      <c r="D328" s="6" t="str">
        <f>'02-variable-info'!H328</f>
        <v>number</v>
      </c>
    </row>
    <row r="329">
      <c r="A329" s="6" t="str">
        <f>'02-variable-info'!A329</f>
        <v>02-06_s-blood-value.csv</v>
      </c>
      <c r="B329" s="6" t="str">
        <f>'02-variable-info'!B329</f>
        <v>bloodValueGlucoseMax_mgPerdLDate</v>
      </c>
      <c r="C329" s="6" t="str">
        <f>'02-variable-info'!M329</f>
        <v>date</v>
      </c>
      <c r="D329" s="6" t="str">
        <f>'02-variable-info'!H329</f>
        <v>date</v>
      </c>
    </row>
    <row r="330">
      <c r="A330" s="6" t="str">
        <f>'02-variable-info'!A330</f>
        <v>02-06_s-blood-value.csv</v>
      </c>
      <c r="B330" s="6" t="str">
        <f>'02-variable-info'!B330</f>
        <v>bloodValueTotalCaMax_mgPerdL</v>
      </c>
      <c r="C330" s="6" t="str">
        <f>'02-variable-info'!M330</f>
        <v>float</v>
      </c>
      <c r="D330" s="6" t="str">
        <f>'02-variable-info'!H330</f>
        <v>number</v>
      </c>
    </row>
    <row r="331">
      <c r="A331" s="6" t="str">
        <f>'02-variable-info'!A331</f>
        <v>02-06_s-blood-value.csv</v>
      </c>
      <c r="B331" s="6" t="str">
        <f>'02-variable-info'!B331</f>
        <v>bloodValueTotalCaMax_mgPerdLDate</v>
      </c>
      <c r="C331" s="6" t="str">
        <f>'02-variable-info'!M331</f>
        <v>date</v>
      </c>
      <c r="D331" s="6" t="str">
        <f>'02-variable-info'!H331</f>
        <v>date</v>
      </c>
    </row>
    <row r="332">
      <c r="A332" s="6" t="str">
        <f>'02-variable-info'!A332</f>
        <v>02-06_s-blood-value.csv</v>
      </c>
      <c r="B332" s="6" t="str">
        <f>'02-variable-info'!B332</f>
        <v>bloodValueIonCaMax_mgPerdL</v>
      </c>
      <c r="C332" s="6" t="str">
        <f>'02-variable-info'!M332</f>
        <v>float</v>
      </c>
      <c r="D332" s="6" t="str">
        <f>'02-variable-info'!H332</f>
        <v>number</v>
      </c>
    </row>
    <row r="333">
      <c r="A333" s="6" t="str">
        <f>'02-variable-info'!A333</f>
        <v>02-06_s-blood-value.csv</v>
      </c>
      <c r="B333" s="6" t="str">
        <f>'02-variable-info'!B333</f>
        <v>bloodValueIonCaMax_mgPerdLDate</v>
      </c>
      <c r="C333" s="6" t="str">
        <f>'02-variable-info'!M333</f>
        <v>date</v>
      </c>
      <c r="D333" s="6" t="str">
        <f>'02-variable-info'!H333</f>
        <v>date</v>
      </c>
    </row>
    <row r="334">
      <c r="A334" s="6" t="str">
        <f>'02-variable-info'!A334</f>
        <v>02-06_s-blood-value.csv</v>
      </c>
      <c r="B334" s="6" t="str">
        <f>'02-variable-info'!B334</f>
        <v>bloodValueASTSGOTMax_UPerL</v>
      </c>
      <c r="C334" s="6" t="str">
        <f>'02-variable-info'!M334</f>
        <v>float</v>
      </c>
      <c r="D334" s="6" t="str">
        <f>'02-variable-info'!H334</f>
        <v>number</v>
      </c>
    </row>
    <row r="335">
      <c r="A335" s="6" t="str">
        <f>'02-variable-info'!A335</f>
        <v>02-06_s-blood-value.csv</v>
      </c>
      <c r="B335" s="6" t="str">
        <f>'02-variable-info'!B335</f>
        <v>bloodValueASTSGOTMax_UPerLDate</v>
      </c>
      <c r="C335" s="6" t="str">
        <f>'02-variable-info'!M335</f>
        <v>date</v>
      </c>
      <c r="D335" s="6" t="str">
        <f>'02-variable-info'!H335</f>
        <v>date</v>
      </c>
    </row>
    <row r="336">
      <c r="A336" s="6" t="str">
        <f>'02-variable-info'!A336</f>
        <v>02-06_s-blood-value.csv</v>
      </c>
      <c r="B336" s="6" t="str">
        <f>'02-variable-info'!B336</f>
        <v>bloodValueALTSGPTMax_UPerL</v>
      </c>
      <c r="C336" s="6" t="str">
        <f>'02-variable-info'!M336</f>
        <v>float</v>
      </c>
      <c r="D336" s="6" t="str">
        <f>'02-variable-info'!H336</f>
        <v>number</v>
      </c>
    </row>
    <row r="337">
      <c r="A337" s="6" t="str">
        <f>'02-variable-info'!A337</f>
        <v>02-06_s-blood-value.csv</v>
      </c>
      <c r="B337" s="6" t="str">
        <f>'02-variable-info'!B337</f>
        <v>bloodValueALTSGPTMax_UPerLDate</v>
      </c>
      <c r="C337" s="6" t="str">
        <f>'02-variable-info'!M337</f>
        <v>date</v>
      </c>
      <c r="D337" s="6" t="str">
        <f>'02-variable-info'!H337</f>
        <v>date</v>
      </c>
    </row>
    <row r="338">
      <c r="A338" s="6" t="str">
        <f>'02-variable-info'!A338</f>
        <v>02-06_s-blood-value.csv</v>
      </c>
      <c r="B338" s="6" t="str">
        <f>'02-variable-info'!B338</f>
        <v>bloodValueTotalBilirubinMax_mgPerdL</v>
      </c>
      <c r="C338" s="6" t="str">
        <f>'02-variable-info'!M338</f>
        <v>float</v>
      </c>
      <c r="D338" s="6" t="str">
        <f>'02-variable-info'!H338</f>
        <v>number</v>
      </c>
    </row>
    <row r="339">
      <c r="A339" s="6" t="str">
        <f>'02-variable-info'!A339</f>
        <v>02-06_s-blood-value.csv</v>
      </c>
      <c r="B339" s="6" t="str">
        <f>'02-variable-info'!B339</f>
        <v>bloodValueTotalBilirubinMax_mgPerdLDate</v>
      </c>
      <c r="C339" s="6" t="str">
        <f>'02-variable-info'!M339</f>
        <v>date</v>
      </c>
      <c r="D339" s="6" t="str">
        <f>'02-variable-info'!H339</f>
        <v>date</v>
      </c>
    </row>
    <row r="340">
      <c r="A340" s="6" t="str">
        <f>'02-variable-info'!A340</f>
        <v>02-07-infection.csv</v>
      </c>
      <c r="B340" s="6" t="str">
        <f>'02-variable-info'!B340</f>
        <v>positiveCultureNumber</v>
      </c>
      <c r="C340" s="6" t="str">
        <f>'02-variable-info'!M340</f>
        <v>int</v>
      </c>
      <c r="D340" s="6" t="str">
        <f>'02-variable-info'!H340</f>
        <v>number</v>
      </c>
    </row>
    <row r="341">
      <c r="A341" s="6" t="str">
        <f>'02-variable-info'!A341</f>
        <v>02-07-infection.csv</v>
      </c>
      <c r="B341" s="6" t="str">
        <f>'02-variable-info'!B341</f>
        <v>positiveCulture</v>
      </c>
      <c r="C341" s="6" t="str">
        <f>'02-variable-info'!M341</f>
        <v>bool</v>
      </c>
      <c r="D341" s="6" t="str">
        <f>'02-variable-info'!H341</f>
        <v>boolean</v>
      </c>
    </row>
    <row r="342">
      <c r="A342" s="6" t="str">
        <f>'02-variable-info'!A342</f>
        <v>02-07-infection.csv</v>
      </c>
      <c r="B342" s="6" t="str">
        <f>'02-variable-info'!B342</f>
        <v>positiveCultureSrc</v>
      </c>
      <c r="C342" s="6" t="str">
        <f>'02-variable-info'!M342</f>
        <v>positiveCultureSrc</v>
      </c>
      <c r="D342" s="6" t="str">
        <f>'02-variable-info'!H342</f>
        <v>nomial</v>
      </c>
    </row>
    <row r="343">
      <c r="A343" s="6" t="str">
        <f>'02-variable-info'!A343</f>
        <v>02-07-infection.csv</v>
      </c>
      <c r="B343" s="6" t="str">
        <f>'02-variable-info'!B343</f>
        <v>positiveCultureDate</v>
      </c>
      <c r="C343" s="6" t="str">
        <f>'02-variable-info'!M343</f>
        <v>date</v>
      </c>
      <c r="D343" s="6" t="str">
        <f>'02-variable-info'!H343</f>
        <v>date</v>
      </c>
    </row>
    <row r="344">
      <c r="A344" s="6" t="str">
        <f>'02-variable-info'!A344</f>
        <v>02-07-infection.csv</v>
      </c>
      <c r="B344" s="6" t="str">
        <f>'02-variable-info'!B344</f>
        <v>positiveCultureTime</v>
      </c>
      <c r="C344" s="6" t="str">
        <f>'02-variable-info'!M344</f>
        <v>time</v>
      </c>
      <c r="D344" s="6" t="str">
        <f>'02-variable-info'!H344</f>
        <v>time</v>
      </c>
    </row>
    <row r="345">
      <c r="A345" s="6" t="str">
        <f>'02-variable-info'!A345</f>
        <v>02-07-infection.csv</v>
      </c>
      <c r="B345" s="6" t="str">
        <f>'02-variable-info'!B345</f>
        <v>positiveCultureOrganismCode1</v>
      </c>
      <c r="C345" s="6" t="str">
        <f>'02-variable-info'!M345</f>
        <v>positiveCultureOrganism</v>
      </c>
      <c r="D345" s="6" t="str">
        <f>'02-variable-info'!H345</f>
        <v>nomial</v>
      </c>
    </row>
    <row r="346">
      <c r="A346" s="6" t="str">
        <f>'02-variable-info'!A346</f>
        <v>02-07-infection.csv</v>
      </c>
      <c r="B346" s="6" t="str">
        <f>'02-variable-info'!B346</f>
        <v>antibiotics</v>
      </c>
      <c r="C346" s="6" t="str">
        <f>'02-variable-info'!M346</f>
        <v>bool</v>
      </c>
      <c r="D346" s="6" t="str">
        <f>'02-variable-info'!H346</f>
        <v>boolean</v>
      </c>
    </row>
    <row r="347">
      <c r="A347" s="6" t="str">
        <f>'02-variable-info'!A347</f>
        <v>02-07-infection.csv</v>
      </c>
      <c r="B347" s="6" t="str">
        <f>'02-variable-info'!B347</f>
        <v>antibioticsCode1</v>
      </c>
      <c r="C347" s="6" t="str">
        <f>'02-variable-info'!M347</f>
        <v>antibiotics</v>
      </c>
      <c r="D347" s="6" t="str">
        <f>'02-variable-info'!H347</f>
        <v>nomial</v>
      </c>
    </row>
    <row r="348">
      <c r="A348" s="6" t="str">
        <f>'02-variable-info'!A348</f>
        <v>02-07-infection.csv</v>
      </c>
      <c r="B348" s="6" t="str">
        <f>'02-variable-info'!B348</f>
        <v>rewarmingAntibiotics</v>
      </c>
      <c r="C348" s="6" t="str">
        <f>'02-variable-info'!M348</f>
        <v>bool</v>
      </c>
      <c r="D348" s="6" t="str">
        <f>'02-variable-info'!H348</f>
        <v>boolean</v>
      </c>
    </row>
    <row r="349">
      <c r="A349" s="6" t="str">
        <f>'02-variable-info'!A349</f>
        <v>02-07-infection.csv</v>
      </c>
      <c r="B349" s="6" t="str">
        <f>'02-variable-info'!B349</f>
        <v>rewarmingAntibioticsCode1</v>
      </c>
      <c r="C349" s="6" t="str">
        <f>'02-variable-info'!M349</f>
        <v>antibiotics</v>
      </c>
      <c r="D349" s="6" t="str">
        <f>'02-variable-info'!H349</f>
        <v>nomial</v>
      </c>
    </row>
    <row r="350">
      <c r="A350" s="6" t="str">
        <f>'02-variable-info'!A350</f>
        <v>02-08-other-med.csv</v>
      </c>
      <c r="B350" s="6" t="str">
        <f>'02-variable-info'!B350</f>
        <v>otherMedTimeSlot_min</v>
      </c>
      <c r="C350" s="6" t="str">
        <f>'02-variable-info'!M350</f>
        <v>int</v>
      </c>
      <c r="D350" s="6" t="str">
        <f>'02-variable-info'!H350</f>
        <v>number</v>
      </c>
    </row>
    <row r="351">
      <c r="A351" s="6" t="str">
        <f>'02-variable-info'!A351</f>
        <v>02-08-other-med.csv</v>
      </c>
      <c r="B351" s="6" t="str">
        <f>'02-variable-info'!B351</f>
        <v>otherMedTargetDate</v>
      </c>
      <c r="C351" s="6" t="str">
        <f>'02-variable-info'!M351</f>
        <v>date</v>
      </c>
      <c r="D351" s="6" t="str">
        <f>'02-variable-info'!H351</f>
        <v>date</v>
      </c>
    </row>
    <row r="352">
      <c r="A352" s="6" t="str">
        <f>'02-variable-info'!A352</f>
        <v>02-08-other-med.csv</v>
      </c>
      <c r="B352" s="6" t="str">
        <f>'02-variable-info'!B352</f>
        <v>otherMedTargetTime</v>
      </c>
      <c r="C352" s="6" t="str">
        <f>'02-variable-info'!M352</f>
        <v>time</v>
      </c>
      <c r="D352" s="6" t="str">
        <f>'02-variable-info'!H352</f>
        <v>time</v>
      </c>
    </row>
    <row r="353">
      <c r="A353" s="6" t="str">
        <f>'02-variable-info'!A353</f>
        <v>02-08-other-med.csv</v>
      </c>
      <c r="B353" s="6" t="str">
        <f>'02-variable-info'!B353</f>
        <v>anticonvulsants1</v>
      </c>
      <c r="C353" s="6" t="str">
        <f>'02-variable-info'!M353</f>
        <v>anticonvulsants</v>
      </c>
      <c r="D353" s="6" t="str">
        <f>'02-variable-info'!H353</f>
        <v>nomial</v>
      </c>
    </row>
    <row r="354">
      <c r="A354" s="6" t="str">
        <f>'02-variable-info'!A354</f>
        <v>02-08-other-med.csv</v>
      </c>
      <c r="B354" s="6" t="str">
        <f>'02-variable-info'!B354</f>
        <v>analgesicsSedatives1</v>
      </c>
      <c r="C354" s="6" t="str">
        <f>'02-variable-info'!M354</f>
        <v>analgesics</v>
      </c>
      <c r="D354" s="6" t="str">
        <f>'02-variable-info'!H354</f>
        <v>nomial</v>
      </c>
    </row>
    <row r="355">
      <c r="A355" s="6" t="str">
        <f>'02-variable-info'!A355</f>
        <v>02-08-other-med.csv</v>
      </c>
      <c r="B355" s="6" t="str">
        <f>'02-variable-info'!B355</f>
        <v>antipyretics1</v>
      </c>
      <c r="C355" s="6" t="str">
        <f>'02-variable-info'!M355</f>
        <v>antipyretics</v>
      </c>
      <c r="D355" s="6" t="str">
        <f>'02-variable-info'!H355</f>
        <v>nomial</v>
      </c>
    </row>
    <row r="356">
      <c r="A356" s="6" t="str">
        <f>'02-variable-info'!A356</f>
        <v>02-08-other-med.csv</v>
      </c>
      <c r="B356" s="6" t="str">
        <f>'02-variable-info'!B356</f>
        <v>paralytics1</v>
      </c>
      <c r="C356" s="6" t="str">
        <f>'02-variable-info'!M356</f>
        <v>paralytics</v>
      </c>
      <c r="D356" s="6" t="str">
        <f>'02-variable-info'!H356</f>
        <v>nomial</v>
      </c>
    </row>
    <row r="357">
      <c r="A357" s="6" t="str">
        <f>'02-variable-info'!A357</f>
        <v>02-08-other-med.csv</v>
      </c>
      <c r="B357" s="6" t="str">
        <f>'02-variable-info'!B357</f>
        <v>otherMedFluidIntake_ccPerKg</v>
      </c>
      <c r="C357" s="6" t="str">
        <f>'02-variable-info'!M357</f>
        <v>float</v>
      </c>
      <c r="D357" s="6" t="str">
        <f>'02-variable-info'!H357</f>
        <v>number</v>
      </c>
    </row>
    <row r="358">
      <c r="A358" s="6" t="str">
        <f>'02-variable-info'!A358</f>
        <v>02-08-other-med.csv</v>
      </c>
      <c r="B358" s="6" t="str">
        <f>'02-variable-info'!B358</f>
        <v>otherMedUrineOutput_ccPerKg</v>
      </c>
      <c r="C358" s="6" t="str">
        <f>'02-variable-info'!M358</f>
        <v>float</v>
      </c>
      <c r="D358" s="6" t="str">
        <f>'02-variable-info'!H358</f>
        <v>number</v>
      </c>
    </row>
    <row r="359">
      <c r="A359" s="6" t="str">
        <f>'02-variable-info'!A359</f>
        <v>02-09-imaging.csv</v>
      </c>
      <c r="B359" s="6" t="str">
        <f>'02-variable-info'!B359</f>
        <v>imagingNumber</v>
      </c>
      <c r="C359" s="6" t="str">
        <f>'02-variable-info'!M359</f>
        <v>int</v>
      </c>
      <c r="D359" s="6" t="str">
        <f>'02-variable-info'!H359</f>
        <v>number</v>
      </c>
    </row>
    <row r="360">
      <c r="A360" s="6" t="str">
        <f>'02-variable-info'!A360</f>
        <v>02-09-imaging.csv</v>
      </c>
      <c r="B360" s="6" t="str">
        <f>'02-variable-info'!B360</f>
        <v>headSonogram</v>
      </c>
      <c r="C360" s="6" t="str">
        <f>'02-variable-info'!M360</f>
        <v>bool</v>
      </c>
      <c r="D360" s="6" t="str">
        <f>'02-variable-info'!H360</f>
        <v>boolean</v>
      </c>
    </row>
    <row r="361">
      <c r="A361" s="6" t="str">
        <f>'02-variable-info'!A361</f>
        <v>02-09-imaging.csv</v>
      </c>
      <c r="B361" s="6" t="str">
        <f>'02-variable-info'!B361</f>
        <v>headSonogramDate</v>
      </c>
      <c r="C361" s="6" t="str">
        <f>'02-variable-info'!M361</f>
        <v>date</v>
      </c>
      <c r="D361" s="6" t="str">
        <f>'02-variable-info'!H361</f>
        <v>date</v>
      </c>
    </row>
    <row r="362">
      <c r="A362" s="6" t="str">
        <f>'02-variable-info'!A362</f>
        <v>02-09-imaging.csv</v>
      </c>
      <c r="B362" s="6" t="str">
        <f>'02-variable-info'!B362</f>
        <v>headSonogramTime</v>
      </c>
      <c r="C362" s="6" t="str">
        <f>'02-variable-info'!M362</f>
        <v>time</v>
      </c>
      <c r="D362" s="6" t="str">
        <f>'02-variable-info'!H362</f>
        <v>time</v>
      </c>
    </row>
    <row r="363">
      <c r="A363" s="6" t="str">
        <f>'02-variable-info'!A363</f>
        <v>02-09-imaging.csv</v>
      </c>
      <c r="B363" s="6" t="str">
        <f>'02-variable-info'!B363</f>
        <v>headSonogramResult1</v>
      </c>
      <c r="C363" s="6" t="str">
        <f>'02-variable-info'!M363</f>
        <v>imaging</v>
      </c>
      <c r="D363" s="6" t="str">
        <f>'02-variable-info'!H363</f>
        <v>nomial</v>
      </c>
    </row>
    <row r="364">
      <c r="A364" s="6" t="str">
        <f>'02-variable-info'!A364</f>
        <v>02-09-imaging.csv</v>
      </c>
      <c r="B364" s="6" t="str">
        <f>'02-variable-info'!B364</f>
        <v>headSonogramResultText</v>
      </c>
      <c r="C364" s="6" t="str">
        <f>'02-variable-info'!M364</f>
        <v>text</v>
      </c>
      <c r="D364" s="6" t="str">
        <f>'02-variable-info'!H364</f>
        <v>text</v>
      </c>
    </row>
    <row r="365">
      <c r="A365" s="6" t="str">
        <f>'02-variable-info'!A365</f>
        <v>02-09-imaging.csv</v>
      </c>
      <c r="B365" s="6" t="str">
        <f>'02-variable-info'!B365</f>
        <v>headCT</v>
      </c>
      <c r="C365" s="6" t="str">
        <f>'02-variable-info'!M365</f>
        <v>bool</v>
      </c>
      <c r="D365" s="6" t="str">
        <f>'02-variable-info'!H365</f>
        <v>boolean</v>
      </c>
    </row>
    <row r="366">
      <c r="A366" s="6" t="str">
        <f>'02-variable-info'!A366</f>
        <v>02-09-imaging.csv</v>
      </c>
      <c r="B366" s="6" t="str">
        <f>'02-variable-info'!B366</f>
        <v>headCTDate</v>
      </c>
      <c r="C366" s="6" t="str">
        <f>'02-variable-info'!M366</f>
        <v>date</v>
      </c>
      <c r="D366" s="6" t="str">
        <f>'02-variable-info'!H366</f>
        <v>date</v>
      </c>
    </row>
    <row r="367">
      <c r="A367" s="6" t="str">
        <f>'02-variable-info'!A367</f>
        <v>02-09-imaging.csv</v>
      </c>
      <c r="B367" s="6" t="str">
        <f>'02-variable-info'!B367</f>
        <v>headCTTime</v>
      </c>
      <c r="C367" s="6" t="str">
        <f>'02-variable-info'!M367</f>
        <v>time</v>
      </c>
      <c r="D367" s="6" t="str">
        <f>'02-variable-info'!H367</f>
        <v>time</v>
      </c>
    </row>
    <row r="368">
      <c r="A368" s="6" t="str">
        <f>'02-variable-info'!A368</f>
        <v>02-09-imaging.csv</v>
      </c>
      <c r="B368" s="6" t="str">
        <f>'02-variable-info'!B368</f>
        <v>headCTResult1</v>
      </c>
      <c r="C368" s="6" t="str">
        <f>'02-variable-info'!M368</f>
        <v>imaging</v>
      </c>
      <c r="D368" s="6" t="str">
        <f>'02-variable-info'!H368</f>
        <v>nomial</v>
      </c>
    </row>
    <row r="369">
      <c r="A369" s="6" t="str">
        <f>'02-variable-info'!A369</f>
        <v>02-09-imaging.csv</v>
      </c>
      <c r="B369" s="6" t="str">
        <f>'02-variable-info'!B369</f>
        <v>headCTResultText</v>
      </c>
      <c r="C369" s="6" t="str">
        <f>'02-variable-info'!M369</f>
        <v>text</v>
      </c>
      <c r="D369" s="6" t="str">
        <f>'02-variable-info'!H369</f>
        <v>text</v>
      </c>
    </row>
    <row r="370">
      <c r="A370" s="6" t="str">
        <f>'02-variable-info'!A370</f>
        <v>02-09-imaging.csv</v>
      </c>
      <c r="B370" s="6" t="str">
        <f>'02-variable-info'!B370</f>
        <v>brainMRI</v>
      </c>
      <c r="C370" s="6" t="str">
        <f>'02-variable-info'!M370</f>
        <v>bool</v>
      </c>
      <c r="D370" s="6" t="str">
        <f>'02-variable-info'!H370</f>
        <v>boolean</v>
      </c>
    </row>
    <row r="371">
      <c r="A371" s="6" t="str">
        <f>'02-variable-info'!A371</f>
        <v>02-09-imaging.csv</v>
      </c>
      <c r="B371" s="6" t="str">
        <f>'02-variable-info'!B371</f>
        <v>brainMRIDate</v>
      </c>
      <c r="C371" s="6" t="str">
        <f>'02-variable-info'!M371</f>
        <v>date</v>
      </c>
      <c r="D371" s="6" t="str">
        <f>'02-variable-info'!H371</f>
        <v>date</v>
      </c>
    </row>
    <row r="372">
      <c r="A372" s="6" t="str">
        <f>'02-variable-info'!A372</f>
        <v>02-09-imaging.csv</v>
      </c>
      <c r="B372" s="6" t="str">
        <f>'02-variable-info'!B372</f>
        <v>brainMRITime</v>
      </c>
      <c r="C372" s="6" t="str">
        <f>'02-variable-info'!M372</f>
        <v>time</v>
      </c>
      <c r="D372" s="6" t="str">
        <f>'02-variable-info'!H372</f>
        <v>time</v>
      </c>
    </row>
    <row r="373">
      <c r="A373" s="6" t="str">
        <f>'02-variable-info'!A373</f>
        <v>02-09-imaging.csv</v>
      </c>
      <c r="B373" s="6" t="str">
        <f>'02-variable-info'!B373</f>
        <v>brainMRIResult1</v>
      </c>
      <c r="C373" s="6" t="str">
        <f>'02-variable-info'!M373</f>
        <v>imaging</v>
      </c>
      <c r="D373" s="6" t="str">
        <f>'02-variable-info'!H373</f>
        <v>nomial</v>
      </c>
    </row>
    <row r="374">
      <c r="A374" s="6" t="str">
        <f>'02-variable-info'!A374</f>
        <v>02-09-imaging.csv</v>
      </c>
      <c r="B374" s="6" t="str">
        <f>'02-variable-info'!B374</f>
        <v>brainMRIResultText</v>
      </c>
      <c r="C374" s="6" t="str">
        <f>'02-variable-info'!M374</f>
        <v>text</v>
      </c>
      <c r="D374" s="6" t="str">
        <f>'02-variable-info'!H374</f>
        <v>text</v>
      </c>
    </row>
    <row r="375">
      <c r="A375" s="6" t="str">
        <f>'02-variable-info'!A375</f>
        <v>02-11-elevated-temperature.csv</v>
      </c>
      <c r="B375" s="6" t="str">
        <f>'02-variable-info'!B375</f>
        <v>elevatedTempNumber</v>
      </c>
      <c r="C375" s="6" t="str">
        <f>'02-variable-info'!M375</f>
        <v>int</v>
      </c>
      <c r="D375" s="6" t="str">
        <f>'02-variable-info'!H375</f>
        <v>number</v>
      </c>
    </row>
    <row r="376">
      <c r="A376" s="6" t="str">
        <f>'02-variable-info'!A376</f>
        <v>02-11-elevated-temperature.csv</v>
      </c>
      <c r="B376" s="6" t="str">
        <f>'02-variable-info'!B376</f>
        <v>elevatedTempMin</v>
      </c>
      <c r="C376" s="6" t="str">
        <f>'02-variable-info'!M376</f>
        <v>int</v>
      </c>
      <c r="D376" s="6" t="str">
        <f>'02-variable-info'!H376</f>
        <v>number</v>
      </c>
    </row>
    <row r="377">
      <c r="A377" s="6" t="str">
        <f>'02-variable-info'!A377</f>
        <v>02-11-elevated-temperature.csv</v>
      </c>
      <c r="B377" s="6" t="str">
        <f>'02-variable-info'!B377</f>
        <v>elevatedTempDate</v>
      </c>
      <c r="C377" s="6" t="str">
        <f>'02-variable-info'!M377</f>
        <v>date</v>
      </c>
      <c r="D377" s="6" t="str">
        <f>'02-variable-info'!H377</f>
        <v>date</v>
      </c>
    </row>
    <row r="378">
      <c r="A378" s="6" t="str">
        <f>'02-variable-info'!A378</f>
        <v>02-11-elevated-temperature.csv</v>
      </c>
      <c r="B378" s="6" t="str">
        <f>'02-variable-info'!B378</f>
        <v>elevatedTempTime</v>
      </c>
      <c r="C378" s="6" t="str">
        <f>'02-variable-info'!M378</f>
        <v>time</v>
      </c>
      <c r="D378" s="6" t="str">
        <f>'02-variable-info'!H378</f>
        <v>time</v>
      </c>
    </row>
    <row r="379">
      <c r="A379" s="6" t="str">
        <f>'02-variable-info'!A379</f>
        <v>02-11-elevated-temperature.csv</v>
      </c>
      <c r="B379" s="6" t="str">
        <f>'02-variable-info'!B379</f>
        <v>elevatedTempSkinTemperature_C</v>
      </c>
      <c r="C379" s="6" t="str">
        <f>'02-variable-info'!M379</f>
        <v>float</v>
      </c>
      <c r="D379" s="6" t="str">
        <f>'02-variable-info'!H379</f>
        <v>number</v>
      </c>
    </row>
    <row r="380">
      <c r="A380" s="6" t="str">
        <f>'02-variable-info'!A380</f>
        <v>02-11-elevated-temperature.csv</v>
      </c>
      <c r="B380" s="6" t="str">
        <f>'02-variable-info'!B380</f>
        <v>elevatedTempAxillaryTemperature_C</v>
      </c>
      <c r="C380" s="6" t="str">
        <f>'02-variable-info'!M380</f>
        <v>float</v>
      </c>
      <c r="D380" s="6" t="str">
        <f>'02-variable-info'!H380</f>
        <v>number</v>
      </c>
    </row>
    <row r="381">
      <c r="A381" s="6" t="str">
        <f>'02-variable-info'!A381</f>
        <v>02-11-elevated-temperature.csv</v>
      </c>
      <c r="B381" s="6" t="str">
        <f>'02-variable-info'!B381</f>
        <v>elevatedTempEsophagealTemperature_C</v>
      </c>
      <c r="C381" s="6" t="str">
        <f>'02-variable-info'!M381</f>
        <v>float</v>
      </c>
      <c r="D381" s="6" t="str">
        <f>'02-variable-info'!H381</f>
        <v>number</v>
      </c>
    </row>
    <row r="382">
      <c r="A382" s="6" t="str">
        <f>'02-variable-info'!A382</f>
        <v>02-11-elevated-temperature.csv</v>
      </c>
      <c r="B382" s="6" t="str">
        <f>'02-variable-info'!B382</f>
        <v>elevatedTempServoSet_C</v>
      </c>
      <c r="C382" s="6" t="str">
        <f>'02-variable-info'!M382</f>
        <v>float</v>
      </c>
      <c r="D382" s="6" t="str">
        <f>'02-variable-info'!H382</f>
        <v>number</v>
      </c>
    </row>
    <row r="383">
      <c r="A383" s="6" t="str">
        <f>'02-variable-info'!A383</f>
        <v>02-11-elevated-temperature.csv</v>
      </c>
      <c r="B383" s="6" t="str">
        <f>'02-variable-info'!B383</f>
        <v>elevatedTempDevice</v>
      </c>
      <c r="C383" s="6" t="str">
        <f>'02-variable-info'!M383</f>
        <v>elevatedTempDevice</v>
      </c>
      <c r="D383" s="6" t="str">
        <f>'02-variable-info'!H383</f>
        <v>nomial</v>
      </c>
    </row>
    <row r="384">
      <c r="A384" s="6" t="str">
        <f>'02-variable-info'!A384</f>
        <v>02-11-elevated-temperature.csv</v>
      </c>
      <c r="B384" s="6" t="str">
        <f>'02-variable-info'!B384</f>
        <v>elevatedTempDeviceMode</v>
      </c>
      <c r="C384" s="6" t="str">
        <f>'02-variable-info'!M384</f>
        <v>elevatedTempDeviceMode</v>
      </c>
      <c r="D384" s="6" t="str">
        <f>'02-variable-info'!H384</f>
        <v>nomial</v>
      </c>
    </row>
    <row r="385">
      <c r="A385" s="6" t="str">
        <f>'02-variable-info'!A385</f>
        <v>02-11-elevated-temperature.csv</v>
      </c>
      <c r="B385" s="6" t="str">
        <f>'02-variable-info'!B385</f>
        <v>elevatedTempAirTemperature_C</v>
      </c>
      <c r="C385" s="6" t="str">
        <f>'02-variable-info'!M385</f>
        <v>float</v>
      </c>
      <c r="D385" s="6" t="str">
        <f>'02-variable-info'!H385</f>
        <v>number</v>
      </c>
    </row>
    <row r="386">
      <c r="A386" s="6" t="str">
        <f>'02-variable-info'!A386</f>
        <v>02-11-elevated-temperature.csv</v>
      </c>
      <c r="B386" s="6" t="str">
        <f>'02-variable-info'!B386</f>
        <v>elevatedTempBath</v>
      </c>
      <c r="C386" s="6" t="str">
        <f>'02-variable-info'!M386</f>
        <v>bool</v>
      </c>
      <c r="D386" s="6" t="str">
        <f>'02-variable-info'!H386</f>
        <v>boolean</v>
      </c>
    </row>
    <row r="387">
      <c r="A387" s="6" t="str">
        <f>'02-variable-info'!A387</f>
        <v>02-11-elevated-temperature.csv</v>
      </c>
      <c r="B387" s="6" t="str">
        <f>'02-variable-info'!B387</f>
        <v>elevatedTempNoBathReason</v>
      </c>
      <c r="C387" s="6" t="str">
        <f>'02-variable-info'!M387</f>
        <v>elevatedTempNoBathReason</v>
      </c>
      <c r="D387" s="6" t="str">
        <f>'02-variable-info'!H387</f>
        <v>nomial</v>
      </c>
    </row>
    <row r="388">
      <c r="A388" s="6" t="str">
        <f>'02-variable-info'!A388</f>
        <v>02-11-elevated-temperature.csv</v>
      </c>
      <c r="B388" s="6" t="str">
        <f>'02-variable-info'!B388</f>
        <v>elevatedTempBlanketrol</v>
      </c>
      <c r="C388" s="6" t="str">
        <f>'02-variable-info'!M388</f>
        <v>bool</v>
      </c>
      <c r="D388" s="6" t="str">
        <f>'02-variable-info'!H388</f>
        <v>boolean</v>
      </c>
    </row>
    <row r="389">
      <c r="A389" s="6" t="str">
        <f>'02-variable-info'!A389</f>
        <v>02-12-fluctuated-temperature.csv</v>
      </c>
      <c r="B389" s="6" t="str">
        <f>'02-variable-info'!B389</f>
        <v>fluctuateTempNumber</v>
      </c>
      <c r="C389" s="6" t="str">
        <f>'02-variable-info'!M389</f>
        <v>int</v>
      </c>
      <c r="D389" s="6" t="str">
        <f>'02-variable-info'!H389</f>
        <v>number</v>
      </c>
    </row>
    <row r="390">
      <c r="A390" s="6" t="str">
        <f>'02-variable-info'!A390</f>
        <v>02-12-fluctuated-temperature.csv</v>
      </c>
      <c r="B390" s="6" t="str">
        <f>'02-variable-info'!B390</f>
        <v>fluctuateTempMin</v>
      </c>
      <c r="C390" s="6" t="str">
        <f>'02-variable-info'!M390</f>
        <v>int</v>
      </c>
      <c r="D390" s="6" t="str">
        <f>'02-variable-info'!H390</f>
        <v>number</v>
      </c>
    </row>
    <row r="391">
      <c r="A391" s="6" t="str">
        <f>'02-variable-info'!A391</f>
        <v>02-12-fluctuated-temperature.csv</v>
      </c>
      <c r="B391" s="6" t="str">
        <f>'02-variable-info'!B391</f>
        <v>fluctuateTempDate</v>
      </c>
      <c r="C391" s="6" t="str">
        <f>'02-variable-info'!M391</f>
        <v>date</v>
      </c>
      <c r="D391" s="6" t="str">
        <f>'02-variable-info'!H391</f>
        <v>date</v>
      </c>
    </row>
    <row r="392">
      <c r="A392" s="6" t="str">
        <f>'02-variable-info'!A392</f>
        <v>02-12-fluctuated-temperature.csv</v>
      </c>
      <c r="B392" s="6" t="str">
        <f>'02-variable-info'!B392</f>
        <v>fluctuateTempTime</v>
      </c>
      <c r="C392" s="6" t="str">
        <f>'02-variable-info'!M392</f>
        <v>time</v>
      </c>
      <c r="D392" s="6" t="str">
        <f>'02-variable-info'!H392</f>
        <v>time</v>
      </c>
    </row>
    <row r="393">
      <c r="A393" s="6" t="str">
        <f>'02-variable-info'!A393</f>
        <v>02-12-fluctuated-temperature.csv</v>
      </c>
      <c r="B393" s="6" t="str">
        <f>'02-variable-info'!B393</f>
        <v>fluctuateTempSkinTemperature_C</v>
      </c>
      <c r="C393" s="6" t="str">
        <f>'02-variable-info'!M393</f>
        <v>float</v>
      </c>
      <c r="D393" s="6" t="str">
        <f>'02-variable-info'!H393</f>
        <v>number</v>
      </c>
    </row>
    <row r="394">
      <c r="A394" s="6" t="str">
        <f>'02-variable-info'!A394</f>
        <v>02-12-fluctuated-temperature.csv</v>
      </c>
      <c r="B394" s="6" t="str">
        <f>'02-variable-info'!B394</f>
        <v>fluctuateTempAxillaryTemperature_C</v>
      </c>
      <c r="C394" s="6" t="str">
        <f>'02-variable-info'!M394</f>
        <v>float</v>
      </c>
      <c r="D394" s="6" t="str">
        <f>'02-variable-info'!H394</f>
        <v>number</v>
      </c>
    </row>
    <row r="395">
      <c r="A395" s="6" t="str">
        <f>'02-variable-info'!A395</f>
        <v>02-12-fluctuated-temperature.csv</v>
      </c>
      <c r="B395" s="6" t="str">
        <f>'02-variable-info'!B395</f>
        <v>fluctuateTempEsophagealTemperature_C</v>
      </c>
      <c r="C395" s="6" t="str">
        <f>'02-variable-info'!M395</f>
        <v>float</v>
      </c>
      <c r="D395" s="6" t="str">
        <f>'02-variable-info'!H395</f>
        <v>number</v>
      </c>
    </row>
    <row r="396">
      <c r="A396" s="6" t="str">
        <f>'02-variable-info'!A396</f>
        <v>02-12-fluctuated-temperature.csv</v>
      </c>
      <c r="B396" s="6" t="str">
        <f>'02-variable-info'!B396</f>
        <v>fluctuateTempBlanketrol_C</v>
      </c>
      <c r="C396" s="6" t="str">
        <f>'02-variable-info'!M396</f>
        <v>float</v>
      </c>
      <c r="D396" s="6" t="str">
        <f>'02-variable-info'!H396</f>
        <v>number</v>
      </c>
    </row>
    <row r="397">
      <c r="A397" s="6" t="str">
        <f>'02-variable-info'!A397</f>
        <v>02-12-fluctuated-temperature.csv</v>
      </c>
      <c r="B397" s="6" t="str">
        <f>'02-variable-info'!B397</f>
        <v>fluctuateTempServoSet_C</v>
      </c>
      <c r="C397" s="6" t="str">
        <f>'02-variable-info'!M397</f>
        <v>float</v>
      </c>
      <c r="D397" s="6" t="str">
        <f>'02-variable-info'!H397</f>
        <v>number</v>
      </c>
    </row>
    <row r="398">
      <c r="A398" s="6" t="str">
        <f>'02-variable-info'!A398</f>
        <v>02-13-bradycardia.csv</v>
      </c>
      <c r="B398" s="6" t="str">
        <f>'02-variable-info'!B398</f>
        <v>bradycardiaEventNumber</v>
      </c>
      <c r="C398" s="6" t="str">
        <f>'02-variable-info'!M398</f>
        <v>int</v>
      </c>
      <c r="D398" s="6" t="str">
        <f>'02-variable-info'!H398</f>
        <v>number</v>
      </c>
    </row>
    <row r="399">
      <c r="A399" s="6" t="str">
        <f>'02-variable-info'!A399</f>
        <v>02-13-bradycardia.csv</v>
      </c>
      <c r="B399" s="6" t="str">
        <f>'02-variable-info'!B399</f>
        <v>bradycardiaLess70Greater15min</v>
      </c>
      <c r="C399" s="6" t="str">
        <f>'02-variable-info'!M399</f>
        <v>bool</v>
      </c>
      <c r="D399" s="6" t="str">
        <f>'02-variable-info'!H399</f>
        <v>boolean</v>
      </c>
    </row>
    <row r="400">
      <c r="A400" s="6" t="str">
        <f>'02-variable-info'!A400</f>
        <v>02-13-bradycardia.csv</v>
      </c>
      <c r="B400" s="6" t="str">
        <f>'02-variable-info'!B400</f>
        <v>bradycardiaEKG</v>
      </c>
      <c r="C400" s="6" t="str">
        <f>'02-variable-info'!M400</f>
        <v>bool</v>
      </c>
      <c r="D400" s="6" t="str">
        <f>'02-variable-info'!H400</f>
        <v>boolean</v>
      </c>
    </row>
    <row r="401">
      <c r="A401" s="6" t="str">
        <f>'02-variable-info'!A401</f>
        <v>02-13-bradycardia.csv</v>
      </c>
      <c r="B401" s="6" t="str">
        <f>'02-variable-info'!B401</f>
        <v>bradycardiaEKGResult</v>
      </c>
      <c r="C401" s="6" t="str">
        <f>'02-variable-info'!M401</f>
        <v>bradycardiaEKGResult</v>
      </c>
      <c r="D401" s="6" t="str">
        <f>'02-variable-info'!H401</f>
        <v>nomial</v>
      </c>
    </row>
    <row r="402">
      <c r="A402" s="6" t="str">
        <f>'02-variable-info'!A402</f>
        <v>02-13-bradycardia.csv</v>
      </c>
      <c r="B402" s="6" t="str">
        <f>'02-variable-info'!B402</f>
        <v>bradycardiaEKGResultOtherText</v>
      </c>
      <c r="C402" s="6" t="str">
        <f>'02-variable-info'!M402</f>
        <v>text</v>
      </c>
      <c r="D402" s="6" t="str">
        <f>'02-variable-info'!H402</f>
        <v>text</v>
      </c>
    </row>
    <row r="403">
      <c r="A403" s="6" t="str">
        <f>'02-variable-info'!A403</f>
        <v>02-13-bradycardia.csv</v>
      </c>
      <c r="B403" s="6" t="str">
        <f>'02-variable-info'!B403</f>
        <v>bradycardiaAntiarrhythmiaMedication</v>
      </c>
      <c r="C403" s="6" t="str">
        <f>'02-variable-info'!M403</f>
        <v>bool</v>
      </c>
      <c r="D403" s="6" t="str">
        <f>'02-variable-info'!H403</f>
        <v>boolean</v>
      </c>
    </row>
    <row r="404">
      <c r="A404" s="6" t="str">
        <f>'02-variable-info'!A404</f>
        <v>02-13-bradycardia.csv</v>
      </c>
      <c r="B404" s="6" t="str">
        <f>'02-variable-info'!B404</f>
        <v>bradycardiaDate</v>
      </c>
      <c r="C404" s="6" t="str">
        <f>'02-variable-info'!M404</f>
        <v>date</v>
      </c>
      <c r="D404" s="6" t="str">
        <f>'02-variable-info'!H404</f>
        <v>date</v>
      </c>
    </row>
    <row r="405">
      <c r="A405" s="6" t="str">
        <f>'02-variable-info'!A405</f>
        <v>02-13-bradycardia.csv</v>
      </c>
      <c r="B405" s="6" t="str">
        <f>'02-variable-info'!B405</f>
        <v>bradycardiaTime</v>
      </c>
      <c r="C405" s="6" t="str">
        <f>'02-variable-info'!M405</f>
        <v>time</v>
      </c>
      <c r="D405" s="6" t="str">
        <f>'02-variable-info'!H405</f>
        <v>time</v>
      </c>
    </row>
    <row r="406">
      <c r="A406" s="6" t="str">
        <f>'02-variable-info'!A406</f>
        <v>02-13-bradycardia.csv</v>
      </c>
      <c r="B406" s="6" t="str">
        <f>'02-variable-info'!B406</f>
        <v>bradycardiaDuration</v>
      </c>
      <c r="C406" s="6" t="str">
        <f>'02-variable-info'!M406</f>
        <v>bradycardiaDuration</v>
      </c>
      <c r="D406" s="6" t="str">
        <f>'02-variable-info'!H406</f>
        <v>ordinal</v>
      </c>
    </row>
    <row r="407">
      <c r="A407" s="6" t="str">
        <f>'02-variable-info'!A407</f>
        <v>02-13-bradycardia.csv</v>
      </c>
      <c r="B407" s="6" t="str">
        <f>'02-variable-info'!B407</f>
        <v>bradycardiaHeartRateMin</v>
      </c>
      <c r="C407" s="6" t="str">
        <f>'02-variable-info'!M407</f>
        <v>bradycardiaHeartRateMin</v>
      </c>
      <c r="D407" s="6" t="str">
        <f>'02-variable-info'!H407</f>
        <v>ordinal</v>
      </c>
    </row>
    <row r="408">
      <c r="A408" s="6" t="str">
        <f>'02-variable-info'!A408</f>
        <v>02-14-adverse-event.csv</v>
      </c>
      <c r="B408" s="6" t="str">
        <f>'02-variable-info'!B408</f>
        <v>adverseEventNumber</v>
      </c>
      <c r="C408" s="6" t="str">
        <f>'02-variable-info'!M408</f>
        <v>int</v>
      </c>
      <c r="D408" s="6" t="str">
        <f>'02-variable-info'!H408</f>
        <v>number</v>
      </c>
    </row>
    <row r="409">
      <c r="A409" s="6" t="str">
        <f>'02-variable-info'!A409</f>
        <v>02-14-adverse-event.csv</v>
      </c>
      <c r="B409" s="6" t="str">
        <f>'02-variable-info'!B409</f>
        <v>SAECardiacExperienceOnsetDate</v>
      </c>
      <c r="C409" s="6" t="str">
        <f>'02-variable-info'!M409</f>
        <v>date</v>
      </c>
      <c r="D409" s="6" t="str">
        <f>'02-variable-info'!H409</f>
        <v>date</v>
      </c>
    </row>
    <row r="410">
      <c r="A410" s="6" t="str">
        <f>'02-variable-info'!A410</f>
        <v>02-14-adverse-event.csv</v>
      </c>
      <c r="B410" s="6" t="str">
        <f>'02-variable-info'!B410</f>
        <v>SAECardiacExperienceOnsetTime</v>
      </c>
      <c r="C410" s="6" t="str">
        <f>'02-variable-info'!M410</f>
        <v>time</v>
      </c>
      <c r="D410" s="6" t="str">
        <f>'02-variable-info'!H410</f>
        <v>time</v>
      </c>
    </row>
    <row r="411">
      <c r="A411" s="6" t="str">
        <f>'02-variable-info'!A411</f>
        <v>02-14-adverse-event.csv</v>
      </c>
      <c r="B411" s="6" t="str">
        <f>'02-variable-info'!B411</f>
        <v>SAECardiacExperienceResolveDate</v>
      </c>
      <c r="C411" s="6" t="str">
        <f>'02-variable-info'!M411</f>
        <v>date</v>
      </c>
      <c r="D411" s="6" t="str">
        <f>'02-variable-info'!H411</f>
        <v>date</v>
      </c>
    </row>
    <row r="412">
      <c r="A412" s="6" t="str">
        <f>'02-variable-info'!A412</f>
        <v>02-14-adverse-event.csv</v>
      </c>
      <c r="B412" s="6" t="str">
        <f>'02-variable-info'!B412</f>
        <v>SAECardiacExperienceResolveTime</v>
      </c>
      <c r="C412" s="6" t="str">
        <f>'02-variable-info'!M412</f>
        <v>time</v>
      </c>
      <c r="D412" s="6" t="str">
        <f>'02-variable-info'!H412</f>
        <v>time</v>
      </c>
    </row>
    <row r="413">
      <c r="A413" s="6" t="str">
        <f>'02-variable-info'!A413</f>
        <v>02-14-adverse-event.csv</v>
      </c>
      <c r="B413" s="6" t="str">
        <f>'02-variable-info'!B413</f>
        <v>SAECardiacExperienceDueToHypothermia</v>
      </c>
      <c r="C413" s="6" t="str">
        <f>'02-variable-info'!M413</f>
        <v>SAEAttributable</v>
      </c>
      <c r="D413" s="6" t="str">
        <f>'02-variable-info'!H413</f>
        <v>ordinal</v>
      </c>
    </row>
    <row r="414">
      <c r="A414" s="6" t="str">
        <f>'02-variable-info'!A414</f>
        <v>02-14-adverse-event.csv</v>
      </c>
      <c r="B414" s="6" t="str">
        <f>'02-variable-info'!B414</f>
        <v>SAECardiacExperienceActionTaken</v>
      </c>
      <c r="C414" s="6" t="str">
        <f>'02-variable-info'!M414</f>
        <v>SAEAction</v>
      </c>
      <c r="D414" s="6" t="str">
        <f>'02-variable-info'!H414</f>
        <v>ordinal</v>
      </c>
    </row>
    <row r="415">
      <c r="A415" s="6" t="str">
        <f>'02-variable-info'!A415</f>
        <v>02-14-adverse-event.csv</v>
      </c>
      <c r="B415" s="6" t="str">
        <f>'02-variable-info'!B415</f>
        <v>SAECardiacExperienceOutcome</v>
      </c>
      <c r="C415" s="6" t="str">
        <f>'02-variable-info'!M415</f>
        <v>SAEOutcome</v>
      </c>
      <c r="D415" s="6" t="str">
        <f>'02-variable-info'!H415</f>
        <v>nomial</v>
      </c>
    </row>
    <row r="416">
      <c r="A416" s="6" t="str">
        <f>'02-variable-info'!A416</f>
        <v>02-14-adverse-event.csv</v>
      </c>
      <c r="B416" s="6" t="str">
        <f>'02-variable-info'!B416</f>
        <v>SAECardiacExperienceComment</v>
      </c>
      <c r="C416" s="6" t="str">
        <f>'02-variable-info'!M416</f>
        <v>text</v>
      </c>
      <c r="D416" s="6" t="str">
        <f>'02-variable-info'!H416</f>
        <v>text</v>
      </c>
    </row>
    <row r="417">
      <c r="A417" s="6" t="str">
        <f>'02-variable-info'!A417</f>
        <v>02-14-adverse-event.csv</v>
      </c>
      <c r="B417" s="6" t="str">
        <f>'02-variable-info'!B417</f>
        <v>SAEMetabolicAcidosisOnsetDate</v>
      </c>
      <c r="C417" s="6" t="str">
        <f>'02-variable-info'!M417</f>
        <v>date</v>
      </c>
      <c r="D417" s="6" t="str">
        <f>'02-variable-info'!H417</f>
        <v>date</v>
      </c>
    </row>
    <row r="418">
      <c r="A418" s="6" t="str">
        <f>'02-variable-info'!A418</f>
        <v>02-14-adverse-event.csv</v>
      </c>
      <c r="B418" s="6" t="str">
        <f>'02-variable-info'!B418</f>
        <v>SAEMetabolicAcidosisOnsetTime</v>
      </c>
      <c r="C418" s="6" t="str">
        <f>'02-variable-info'!M418</f>
        <v>time</v>
      </c>
      <c r="D418" s="6" t="str">
        <f>'02-variable-info'!H418</f>
        <v>time</v>
      </c>
    </row>
    <row r="419">
      <c r="A419" s="6" t="str">
        <f>'02-variable-info'!A419</f>
        <v>02-14-adverse-event.csv</v>
      </c>
      <c r="B419" s="6" t="str">
        <f>'02-variable-info'!B419</f>
        <v>SAEMetabolicAcidosisResolveDate</v>
      </c>
      <c r="C419" s="6" t="str">
        <f>'02-variable-info'!M419</f>
        <v>date</v>
      </c>
      <c r="D419" s="6" t="str">
        <f>'02-variable-info'!H419</f>
        <v>date</v>
      </c>
    </row>
    <row r="420">
      <c r="A420" s="6" t="str">
        <f>'02-variable-info'!A420</f>
        <v>02-14-adverse-event.csv</v>
      </c>
      <c r="B420" s="6" t="str">
        <f>'02-variable-info'!B420</f>
        <v>SAEMetabolicAcidosisResolveTime</v>
      </c>
      <c r="C420" s="6" t="str">
        <f>'02-variable-info'!M420</f>
        <v>time</v>
      </c>
      <c r="D420" s="6" t="str">
        <f>'02-variable-info'!H420</f>
        <v>time</v>
      </c>
    </row>
    <row r="421">
      <c r="A421" s="6" t="str">
        <f>'02-variable-info'!A421</f>
        <v>02-14-adverse-event.csv</v>
      </c>
      <c r="B421" s="6" t="str">
        <f>'02-variable-info'!B421</f>
        <v>SAEMetabolicAcidosisDueToHypothermia</v>
      </c>
      <c r="C421" s="6" t="str">
        <f>'02-variable-info'!M421</f>
        <v>SAEAttributable</v>
      </c>
      <c r="D421" s="6" t="str">
        <f>'02-variable-info'!H421</f>
        <v>ordinal</v>
      </c>
    </row>
    <row r="422">
      <c r="A422" s="6" t="str">
        <f>'02-variable-info'!A422</f>
        <v>02-14-adverse-event.csv</v>
      </c>
      <c r="B422" s="6" t="str">
        <f>'02-variable-info'!B422</f>
        <v>SAEMetabolicAcidosisActionTaken</v>
      </c>
      <c r="C422" s="6" t="str">
        <f>'02-variable-info'!M422</f>
        <v>SAEAction</v>
      </c>
      <c r="D422" s="6" t="str">
        <f>'02-variable-info'!H422</f>
        <v>ordinal</v>
      </c>
    </row>
    <row r="423">
      <c r="A423" s="6" t="str">
        <f>'02-variable-info'!A423</f>
        <v>02-14-adverse-event.csv</v>
      </c>
      <c r="B423" s="6" t="str">
        <f>'02-variable-info'!B423</f>
        <v>SAEMetabolicAcidosisOutcome</v>
      </c>
      <c r="C423" s="6" t="str">
        <f>'02-variable-info'!M423</f>
        <v>SAEOutcome</v>
      </c>
      <c r="D423" s="6" t="str">
        <f>'02-variable-info'!H423</f>
        <v>nomial</v>
      </c>
    </row>
    <row r="424">
      <c r="A424" s="6" t="str">
        <f>'02-variable-info'!A424</f>
        <v>02-14-adverse-event.csv</v>
      </c>
      <c r="B424" s="6" t="str">
        <f>'02-variable-info'!B424</f>
        <v>SAEMetabolicAcidosisComment</v>
      </c>
      <c r="C424" s="6" t="str">
        <f>'02-variable-info'!M424</f>
        <v>text</v>
      </c>
      <c r="D424" s="6" t="str">
        <f>'02-variable-info'!H424</f>
        <v>text</v>
      </c>
    </row>
    <row r="425">
      <c r="A425" s="6" t="str">
        <f>'02-variable-info'!A425</f>
        <v>02-14-adverse-event.csv</v>
      </c>
      <c r="B425" s="6" t="str">
        <f>'02-variable-info'!B425</f>
        <v>SAEThrombosisExperienceOnsetDate</v>
      </c>
      <c r="C425" s="6" t="str">
        <f>'02-variable-info'!M425</f>
        <v>date</v>
      </c>
      <c r="D425" s="6" t="str">
        <f>'02-variable-info'!H425</f>
        <v>date</v>
      </c>
    </row>
    <row r="426">
      <c r="A426" s="6" t="str">
        <f>'02-variable-info'!A426</f>
        <v>02-14-adverse-event.csv</v>
      </c>
      <c r="B426" s="6" t="str">
        <f>'02-variable-info'!B426</f>
        <v>SAEThrombosisExperienceOnsetTime</v>
      </c>
      <c r="C426" s="6" t="str">
        <f>'02-variable-info'!M426</f>
        <v>time</v>
      </c>
      <c r="D426" s="6" t="str">
        <f>'02-variable-info'!H426</f>
        <v>time</v>
      </c>
    </row>
    <row r="427">
      <c r="A427" s="6" t="str">
        <f>'02-variable-info'!A427</f>
        <v>02-14-adverse-event.csv</v>
      </c>
      <c r="B427" s="6" t="str">
        <f>'02-variable-info'!B427</f>
        <v>SAEThrombosisExperienceResolveDate</v>
      </c>
      <c r="C427" s="6" t="str">
        <f>'02-variable-info'!M427</f>
        <v>date</v>
      </c>
      <c r="D427" s="6" t="str">
        <f>'02-variable-info'!H427</f>
        <v>date</v>
      </c>
    </row>
    <row r="428">
      <c r="A428" s="6" t="str">
        <f>'02-variable-info'!A428</f>
        <v>02-14-adverse-event.csv</v>
      </c>
      <c r="B428" s="6" t="str">
        <f>'02-variable-info'!B428</f>
        <v>SAEThrombosisExperienceResolveTime</v>
      </c>
      <c r="C428" s="6" t="str">
        <f>'02-variable-info'!M428</f>
        <v>time</v>
      </c>
      <c r="D428" s="6" t="str">
        <f>'02-variable-info'!H428</f>
        <v>time</v>
      </c>
    </row>
    <row r="429">
      <c r="A429" s="6" t="str">
        <f>'02-variable-info'!A429</f>
        <v>02-14-adverse-event.csv</v>
      </c>
      <c r="B429" s="6" t="str">
        <f>'02-variable-info'!B429</f>
        <v>SAEThrombosisExperienceDueToHypothermia</v>
      </c>
      <c r="C429" s="6" t="str">
        <f>'02-variable-info'!M429</f>
        <v>SAEAttributable</v>
      </c>
      <c r="D429" s="6" t="str">
        <f>'02-variable-info'!H429</f>
        <v>ordinal</v>
      </c>
    </row>
    <row r="430">
      <c r="A430" s="6" t="str">
        <f>'02-variable-info'!A430</f>
        <v>02-14-adverse-event.csv</v>
      </c>
      <c r="B430" s="6" t="str">
        <f>'02-variable-info'!B430</f>
        <v>SAEThrombosisExperienceActionTaken</v>
      </c>
      <c r="C430" s="6" t="str">
        <f>'02-variable-info'!M430</f>
        <v>SAEAction</v>
      </c>
      <c r="D430" s="6" t="str">
        <f>'02-variable-info'!H430</f>
        <v>ordinal</v>
      </c>
    </row>
    <row r="431">
      <c r="A431" s="6" t="str">
        <f>'02-variable-info'!A431</f>
        <v>02-14-adverse-event.csv</v>
      </c>
      <c r="B431" s="6" t="str">
        <f>'02-variable-info'!B431</f>
        <v>SAEThrombosisExperienceOutcome</v>
      </c>
      <c r="C431" s="6" t="str">
        <f>'02-variable-info'!M431</f>
        <v>SAEOutcome</v>
      </c>
      <c r="D431" s="6" t="str">
        <f>'02-variable-info'!H431</f>
        <v>nomial</v>
      </c>
    </row>
    <row r="432">
      <c r="A432" s="6" t="str">
        <f>'02-variable-info'!A432</f>
        <v>02-14-adverse-event.csv</v>
      </c>
      <c r="B432" s="6" t="str">
        <f>'02-variable-info'!B432</f>
        <v>SAEThrombosisExperienceComment</v>
      </c>
      <c r="C432" s="6" t="str">
        <f>'02-variable-info'!M432</f>
        <v>text</v>
      </c>
      <c r="D432" s="6" t="str">
        <f>'02-variable-info'!H432</f>
        <v>text</v>
      </c>
    </row>
    <row r="433">
      <c r="A433" s="6" t="str">
        <f>'02-variable-info'!A433</f>
        <v>02-14-adverse-event.csv</v>
      </c>
      <c r="B433" s="6" t="str">
        <f>'02-variable-info'!B433</f>
        <v>SAEBleedingExperienceOnsetDate</v>
      </c>
      <c r="C433" s="6" t="str">
        <f>'02-variable-info'!M433</f>
        <v>date</v>
      </c>
      <c r="D433" s="6" t="str">
        <f>'02-variable-info'!H433</f>
        <v>date</v>
      </c>
    </row>
    <row r="434">
      <c r="A434" s="6" t="str">
        <f>'02-variable-info'!A434</f>
        <v>02-14-adverse-event.csv</v>
      </c>
      <c r="B434" s="6" t="str">
        <f>'02-variable-info'!B434</f>
        <v>SAEBleedingExperienceOnsetTime</v>
      </c>
      <c r="C434" s="6" t="str">
        <f>'02-variable-info'!M434</f>
        <v>time</v>
      </c>
      <c r="D434" s="6" t="str">
        <f>'02-variable-info'!H434</f>
        <v>time</v>
      </c>
    </row>
    <row r="435">
      <c r="A435" s="6" t="str">
        <f>'02-variable-info'!A435</f>
        <v>02-14-adverse-event.csv</v>
      </c>
      <c r="B435" s="6" t="str">
        <f>'02-variable-info'!B435</f>
        <v>SAEBleedingExperienceResolveDate</v>
      </c>
      <c r="C435" s="6" t="str">
        <f>'02-variable-info'!M435</f>
        <v>date</v>
      </c>
      <c r="D435" s="6" t="str">
        <f>'02-variable-info'!H435</f>
        <v>date</v>
      </c>
    </row>
    <row r="436">
      <c r="A436" s="6" t="str">
        <f>'02-variable-info'!A436</f>
        <v>02-14-adverse-event.csv</v>
      </c>
      <c r="B436" s="6" t="str">
        <f>'02-variable-info'!B436</f>
        <v>SAEBleedingExperienceResolveTime</v>
      </c>
      <c r="C436" s="6" t="str">
        <f>'02-variable-info'!M436</f>
        <v>time</v>
      </c>
      <c r="D436" s="6" t="str">
        <f>'02-variable-info'!H436</f>
        <v>time</v>
      </c>
    </row>
    <row r="437">
      <c r="A437" s="6" t="str">
        <f>'02-variable-info'!A437</f>
        <v>02-14-adverse-event.csv</v>
      </c>
      <c r="B437" s="6" t="str">
        <f>'02-variable-info'!B437</f>
        <v>SAEBleedingExperienceDueToHypothermia</v>
      </c>
      <c r="C437" s="6" t="str">
        <f>'02-variable-info'!M437</f>
        <v>SAEAttributable</v>
      </c>
      <c r="D437" s="6" t="str">
        <f>'02-variable-info'!H437</f>
        <v>ordinal</v>
      </c>
    </row>
    <row r="438">
      <c r="A438" s="6" t="str">
        <f>'02-variable-info'!A438</f>
        <v>02-14-adverse-event.csv</v>
      </c>
      <c r="B438" s="6" t="str">
        <f>'02-variable-info'!B438</f>
        <v>SAEBleedingExperienceActionTaken</v>
      </c>
      <c r="C438" s="6" t="str">
        <f>'02-variable-info'!M438</f>
        <v>SAEAction</v>
      </c>
      <c r="D438" s="6" t="str">
        <f>'02-variable-info'!H438</f>
        <v>ordinal</v>
      </c>
    </row>
    <row r="439">
      <c r="A439" s="6" t="str">
        <f>'02-variable-info'!A439</f>
        <v>02-14-adverse-event.csv</v>
      </c>
      <c r="B439" s="6" t="str">
        <f>'02-variable-info'!B439</f>
        <v>SAEBleedingExperienceOutcome</v>
      </c>
      <c r="C439" s="6" t="str">
        <f>'02-variable-info'!M439</f>
        <v>SAEOutcome</v>
      </c>
      <c r="D439" s="6" t="str">
        <f>'02-variable-info'!H439</f>
        <v>nomial</v>
      </c>
    </row>
    <row r="440">
      <c r="A440" s="6" t="str">
        <f>'02-variable-info'!A440</f>
        <v>02-14-adverse-event.csv</v>
      </c>
      <c r="B440" s="6" t="str">
        <f>'02-variable-info'!B440</f>
        <v>SAEBleedingExperienceComment</v>
      </c>
      <c r="C440" s="6" t="str">
        <f>'02-variable-info'!M440</f>
        <v>text</v>
      </c>
      <c r="D440" s="6" t="str">
        <f>'02-variable-info'!H440</f>
        <v>text</v>
      </c>
    </row>
    <row r="441">
      <c r="A441" s="6" t="str">
        <f>'02-variable-info'!A441</f>
        <v>02-14-adverse-event.csv</v>
      </c>
      <c r="B441" s="6" t="str">
        <f>'02-variable-info'!B441</f>
        <v>SAEAlterationSkinIntegrity</v>
      </c>
      <c r="C441" s="6" t="str">
        <f>'02-variable-info'!M441</f>
        <v>SAEAlterationSkinIntegrity</v>
      </c>
      <c r="D441" s="6" t="str">
        <f>'02-variable-info'!H441</f>
        <v>ordinal</v>
      </c>
    </row>
    <row r="442">
      <c r="A442" s="6" t="str">
        <f>'02-variable-info'!A442</f>
        <v>02-14-adverse-event.csv</v>
      </c>
      <c r="B442" s="6" t="str">
        <f>'02-variable-info'!B442</f>
        <v>SAEAlterationSkinIntegrityOnsetDate</v>
      </c>
      <c r="C442" s="6" t="str">
        <f>'02-variable-info'!M442</f>
        <v>date</v>
      </c>
      <c r="D442" s="6" t="str">
        <f>'02-variable-info'!H442</f>
        <v>date</v>
      </c>
    </row>
    <row r="443">
      <c r="A443" s="6" t="str">
        <f>'02-variable-info'!A443</f>
        <v>02-14-adverse-event.csv</v>
      </c>
      <c r="B443" s="6" t="str">
        <f>'02-variable-info'!B443</f>
        <v>SAEAlterationSkinIntegrityResolveDate</v>
      </c>
      <c r="C443" s="6" t="str">
        <f>'02-variable-info'!M443</f>
        <v>date</v>
      </c>
      <c r="D443" s="6" t="str">
        <f>'02-variable-info'!H443</f>
        <v>date</v>
      </c>
    </row>
    <row r="444">
      <c r="A444" s="6" t="str">
        <f>'02-variable-info'!A444</f>
        <v>02-14-adverse-event.csv</v>
      </c>
      <c r="B444" s="6" t="str">
        <f>'02-variable-info'!B444</f>
        <v>SAEAlterationSkinIntegrityDueToHypothermia</v>
      </c>
      <c r="C444" s="6" t="str">
        <f>'02-variable-info'!M444</f>
        <v>SAEAttributable</v>
      </c>
      <c r="D444" s="6" t="str">
        <f>'02-variable-info'!H444</f>
        <v>ordinal</v>
      </c>
    </row>
    <row r="445">
      <c r="A445" s="6" t="str">
        <f>'02-variable-info'!A445</f>
        <v>02-14-adverse-event.csv</v>
      </c>
      <c r="B445" s="6" t="str">
        <f>'02-variable-info'!B445</f>
        <v>SAEAlterationSkinIntegrityActionTaken</v>
      </c>
      <c r="C445" s="6" t="str">
        <f>'02-variable-info'!M445</f>
        <v>SAEAction</v>
      </c>
      <c r="D445" s="6" t="str">
        <f>'02-variable-info'!H445</f>
        <v>ordinal</v>
      </c>
    </row>
    <row r="446">
      <c r="A446" s="6" t="str">
        <f>'02-variable-info'!A446</f>
        <v>02-14-adverse-event.csv</v>
      </c>
      <c r="B446" s="6" t="str">
        <f>'02-variable-info'!B446</f>
        <v>SAEAlterationSkinIntegrityOutcome</v>
      </c>
      <c r="C446" s="6" t="str">
        <f>'02-variable-info'!M446</f>
        <v>SAEOutcome</v>
      </c>
      <c r="D446" s="6" t="str">
        <f>'02-variable-info'!H446</f>
        <v>nomial</v>
      </c>
    </row>
    <row r="447">
      <c r="A447" s="6" t="str">
        <f>'02-variable-info'!A447</f>
        <v>02-14-adverse-event.csv</v>
      </c>
      <c r="B447" s="6" t="str">
        <f>'02-variable-info'!B447</f>
        <v>SAEAlterationSkinIntegrityComment</v>
      </c>
      <c r="C447" s="6" t="str">
        <f>'02-variable-info'!M447</f>
        <v>text</v>
      </c>
      <c r="D447" s="6" t="str">
        <f>'02-variable-info'!H447</f>
        <v>text</v>
      </c>
    </row>
    <row r="448">
      <c r="A448" s="6" t="str">
        <f>'02-variable-info'!A448</f>
        <v>02-14-adverse-event.csv</v>
      </c>
      <c r="B448" s="6" t="str">
        <f>'02-variable-info'!B448</f>
        <v>SAEDeathDate</v>
      </c>
      <c r="C448" s="6" t="str">
        <f>'02-variable-info'!M448</f>
        <v>date</v>
      </c>
      <c r="D448" s="6" t="str">
        <f>'02-variable-info'!H448</f>
        <v>date</v>
      </c>
    </row>
    <row r="449">
      <c r="A449" s="6" t="str">
        <f>'02-variable-info'!A449</f>
        <v>02-14-adverse-event.csv</v>
      </c>
      <c r="B449" s="6" t="str">
        <f>'02-variable-info'!B449</f>
        <v>SAEDeathTime</v>
      </c>
      <c r="C449" s="6" t="str">
        <f>'02-variable-info'!M449</f>
        <v>time</v>
      </c>
      <c r="D449" s="6" t="str">
        <f>'02-variable-info'!H449</f>
        <v>time</v>
      </c>
    </row>
    <row r="450">
      <c r="A450" s="6" t="str">
        <f>'02-variable-info'!A450</f>
        <v>02-14-adverse-event.csv</v>
      </c>
      <c r="B450" s="6" t="str">
        <f>'02-variable-info'!B450</f>
        <v>SAEDeathDueToHypothermia</v>
      </c>
      <c r="C450" s="6" t="str">
        <f>'02-variable-info'!M450</f>
        <v>SAEAttributable</v>
      </c>
      <c r="D450" s="6" t="str">
        <f>'02-variable-info'!H450</f>
        <v>ordinal</v>
      </c>
    </row>
    <row r="451">
      <c r="A451" s="6" t="str">
        <f>'02-variable-info'!A451</f>
        <v>02-14-adverse-event.csv</v>
      </c>
      <c r="B451" s="6" t="str">
        <f>'02-variable-info'!B451</f>
        <v>SAEDeathActionTaken</v>
      </c>
      <c r="C451" s="6" t="str">
        <f>'02-variable-info'!M451</f>
        <v>SAEAction</v>
      </c>
      <c r="D451" s="6" t="str">
        <f>'02-variable-info'!H451</f>
        <v>ordinal</v>
      </c>
    </row>
    <row r="452">
      <c r="A452" s="6" t="str">
        <f>'02-variable-info'!A452</f>
        <v>02-14-adverse-event.csv</v>
      </c>
      <c r="B452" s="6" t="str">
        <f>'02-variable-info'!B452</f>
        <v>SAEDeathOutcome</v>
      </c>
      <c r="C452" s="6" t="str">
        <f>'02-variable-info'!M452</f>
        <v>SAEOutcome</v>
      </c>
      <c r="D452" s="6" t="str">
        <f>'02-variable-info'!H452</f>
        <v>nomial</v>
      </c>
    </row>
    <row r="453">
      <c r="A453" s="6" t="str">
        <f>'02-variable-info'!A453</f>
        <v>02-14-adverse-event.csv</v>
      </c>
      <c r="B453" s="6" t="str">
        <f>'02-variable-info'!B453</f>
        <v>SAEDeathComment</v>
      </c>
      <c r="C453" s="6" t="str">
        <f>'02-variable-info'!M453</f>
        <v>text</v>
      </c>
      <c r="D453" s="6" t="str">
        <f>'02-variable-info'!H453</f>
        <v>text</v>
      </c>
    </row>
    <row r="454">
      <c r="A454" s="6" t="str">
        <f>'02-variable-info'!A454</f>
        <v>02-14-adverse-event.csv</v>
      </c>
      <c r="B454" s="6" t="str">
        <f>'02-variable-info'!B454</f>
        <v>SAEOther</v>
      </c>
      <c r="C454" s="6" t="str">
        <f>'02-variable-info'!M454</f>
        <v>text</v>
      </c>
      <c r="D454" s="6" t="str">
        <f>'02-variable-info'!H454</f>
        <v>text</v>
      </c>
    </row>
    <row r="455">
      <c r="A455" s="6" t="str">
        <f>'02-variable-info'!A455</f>
        <v>02-14-adverse-event.csv</v>
      </c>
      <c r="B455" s="6" t="str">
        <f>'02-variable-info'!B455</f>
        <v>SAEOtherOnsetDate</v>
      </c>
      <c r="C455" s="6" t="str">
        <f>'02-variable-info'!M455</f>
        <v>date</v>
      </c>
      <c r="D455" s="6" t="str">
        <f>'02-variable-info'!H455</f>
        <v>date</v>
      </c>
    </row>
    <row r="456">
      <c r="A456" s="6" t="str">
        <f>'02-variable-info'!A456</f>
        <v>02-14-adverse-event.csv</v>
      </c>
      <c r="B456" s="6" t="str">
        <f>'02-variable-info'!B456</f>
        <v>SAEOtherOnsetTime</v>
      </c>
      <c r="C456" s="6" t="str">
        <f>'02-variable-info'!M456</f>
        <v>time</v>
      </c>
      <c r="D456" s="6" t="str">
        <f>'02-variable-info'!H456</f>
        <v>time</v>
      </c>
    </row>
    <row r="457">
      <c r="A457" s="6" t="str">
        <f>'02-variable-info'!A457</f>
        <v>02-14-adverse-event.csv</v>
      </c>
      <c r="B457" s="6" t="str">
        <f>'02-variable-info'!B457</f>
        <v>SAEOtherResolveDate</v>
      </c>
      <c r="C457" s="6" t="str">
        <f>'02-variable-info'!M457</f>
        <v>date</v>
      </c>
      <c r="D457" s="6" t="str">
        <f>'02-variable-info'!H457</f>
        <v>date</v>
      </c>
    </row>
    <row r="458">
      <c r="A458" s="6" t="str">
        <f>'02-variable-info'!A458</f>
        <v>02-14-adverse-event.csv</v>
      </c>
      <c r="B458" s="6" t="str">
        <f>'02-variable-info'!B458</f>
        <v>SAEOtherResolveTime</v>
      </c>
      <c r="C458" s="6" t="str">
        <f>'02-variable-info'!M458</f>
        <v>time</v>
      </c>
      <c r="D458" s="6" t="str">
        <f>'02-variable-info'!H458</f>
        <v>time</v>
      </c>
    </row>
    <row r="459">
      <c r="A459" s="6" t="str">
        <f>'02-variable-info'!A459</f>
        <v>02-14-adverse-event.csv</v>
      </c>
      <c r="B459" s="6" t="str">
        <f>'02-variable-info'!B459</f>
        <v>SAEOtherDueToHypothermia</v>
      </c>
      <c r="C459" s="6" t="str">
        <f>'02-variable-info'!M459</f>
        <v>SAEAttributable</v>
      </c>
      <c r="D459" s="6" t="str">
        <f>'02-variable-info'!H459</f>
        <v>ordinal</v>
      </c>
    </row>
    <row r="460">
      <c r="A460" s="6" t="str">
        <f>'02-variable-info'!A460</f>
        <v>02-14-adverse-event.csv</v>
      </c>
      <c r="B460" s="6" t="str">
        <f>'02-variable-info'!B460</f>
        <v>SAEOtherActionTaken</v>
      </c>
      <c r="C460" s="6" t="str">
        <f>'02-variable-info'!M460</f>
        <v>SAEAction</v>
      </c>
      <c r="D460" s="6" t="str">
        <f>'02-variable-info'!H460</f>
        <v>ordinal</v>
      </c>
    </row>
    <row r="461">
      <c r="A461" s="6" t="str">
        <f>'02-variable-info'!A461</f>
        <v>02-14-adverse-event.csv</v>
      </c>
      <c r="B461" s="6" t="str">
        <f>'02-variable-info'!B461</f>
        <v>SAEOtherOutcome</v>
      </c>
      <c r="C461" s="6" t="str">
        <f>'02-variable-info'!M461</f>
        <v>SAEOutcome</v>
      </c>
      <c r="D461" s="6" t="str">
        <f>'02-variable-info'!H461</f>
        <v>nomial</v>
      </c>
    </row>
    <row r="462">
      <c r="A462" s="6" t="str">
        <f>'02-variable-info'!A462</f>
        <v>02-14-adverse-event.csv</v>
      </c>
      <c r="B462" s="6" t="str">
        <f>'02-variable-info'!B462</f>
        <v>SAEOtherComment</v>
      </c>
      <c r="C462" s="6" t="str">
        <f>'02-variable-info'!M462</f>
        <v>text</v>
      </c>
      <c r="D462" s="6" t="str">
        <f>'02-variable-info'!H462</f>
        <v>text</v>
      </c>
    </row>
    <row r="463">
      <c r="A463" s="6" t="str">
        <f>'02-variable-info'!A463</f>
        <v>02-15-violation.csv</v>
      </c>
      <c r="B463" s="6" t="str">
        <f>'02-variable-info'!B463</f>
        <v>violationNumber</v>
      </c>
      <c r="C463" s="6" t="str">
        <f>'02-variable-info'!M463</f>
        <v>int</v>
      </c>
      <c r="D463" s="6" t="str">
        <f>'02-variable-info'!H463</f>
        <v>number</v>
      </c>
    </row>
    <row r="464">
      <c r="A464" s="6" t="str">
        <f>'02-variable-info'!A464</f>
        <v>02-15-violation.csv</v>
      </c>
      <c r="B464" s="6" t="str">
        <f>'02-variable-info'!B464</f>
        <v>violationDate</v>
      </c>
      <c r="C464" s="6" t="str">
        <f>'02-variable-info'!M464</f>
        <v>date</v>
      </c>
      <c r="D464" s="6" t="str">
        <f>'02-variable-info'!H464</f>
        <v>date</v>
      </c>
    </row>
    <row r="465">
      <c r="A465" s="6" t="str">
        <f>'02-variable-info'!A465</f>
        <v>02-15-violation.csv</v>
      </c>
      <c r="B465" s="6" t="str">
        <f>'02-variable-info'!B465</f>
        <v>violationNature</v>
      </c>
      <c r="C465" s="6" t="str">
        <f>'02-variable-info'!M465</f>
        <v>violationNature</v>
      </c>
      <c r="D465" s="6" t="str">
        <f>'02-variable-info'!H465</f>
        <v>nomial</v>
      </c>
    </row>
    <row r="466">
      <c r="A466" s="6" t="str">
        <f>'02-variable-info'!A466</f>
        <v>02-15-violation.csv</v>
      </c>
      <c r="B466" s="6" t="str">
        <f>'02-variable-info'!B466</f>
        <v>violationTreatmentAssign</v>
      </c>
      <c r="C466" s="6" t="str">
        <f>'02-variable-info'!M466</f>
        <v>bool</v>
      </c>
      <c r="D466" s="6" t="str">
        <f>'02-variable-info'!H466</f>
        <v>boolean</v>
      </c>
    </row>
    <row r="467">
      <c r="A467" s="6" t="str">
        <f>'02-variable-info'!A467</f>
        <v>02-15-violation.csv</v>
      </c>
      <c r="B467" s="6" t="str">
        <f>'02-variable-info'!B467</f>
        <v>violationTreatmentReceive</v>
      </c>
      <c r="C467" s="6" t="str">
        <f>'02-variable-info'!M467</f>
        <v>bool</v>
      </c>
      <c r="D467" s="6" t="str">
        <f>'02-variable-info'!H467</f>
        <v>boolean</v>
      </c>
    </row>
    <row r="468">
      <c r="A468" s="6" t="str">
        <f>'02-variable-info'!A468</f>
        <v>02-15-violation.csv</v>
      </c>
      <c r="B468" s="6" t="str">
        <f>'02-variable-info'!B468</f>
        <v>violationOtherText</v>
      </c>
      <c r="C468" s="6" t="str">
        <f>'02-variable-info'!M468</f>
        <v>text</v>
      </c>
      <c r="D468" s="6" t="str">
        <f>'02-variable-info'!H468</f>
        <v>text</v>
      </c>
    </row>
    <row r="469">
      <c r="A469" s="6" t="str">
        <f>'02-variable-info'!A469</f>
        <v>02-15-violation.csv</v>
      </c>
      <c r="B469" s="6" t="str">
        <f>'02-variable-info'!B469</f>
        <v>violationCircumstance</v>
      </c>
      <c r="C469" s="6" t="str">
        <f>'02-variable-info'!M469</f>
        <v>violationCircumstance</v>
      </c>
      <c r="D469" s="6" t="str">
        <f>'02-variable-info'!H469</f>
        <v>nomial</v>
      </c>
    </row>
    <row r="470">
      <c r="A470" s="6" t="str">
        <f>'02-variable-info'!A470</f>
        <v>02-15-violation.csv</v>
      </c>
      <c r="B470" s="6" t="str">
        <f>'02-variable-info'!B470</f>
        <v>violationOtherCirumstanceText</v>
      </c>
      <c r="C470" s="6" t="str">
        <f>'02-variable-info'!M470</f>
        <v>text</v>
      </c>
      <c r="D470" s="6" t="str">
        <f>'02-variable-info'!H470</f>
        <v>text</v>
      </c>
    </row>
    <row r="471">
      <c r="A471" s="6" t="str">
        <f>'02-variable-info'!A471</f>
        <v>02-15-violation.csv</v>
      </c>
      <c r="B471" s="6" t="str">
        <f>'02-variable-info'!B471</f>
        <v>violationComment</v>
      </c>
      <c r="C471" s="6" t="str">
        <f>'02-variable-info'!M471</f>
        <v>text</v>
      </c>
      <c r="D471" s="6" t="str">
        <f>'02-variable-info'!H471</f>
        <v>text</v>
      </c>
    </row>
    <row r="472">
      <c r="A472" s="6" t="str">
        <f>'02-variable-info'!A472</f>
        <v>02-16-interrupt.csv</v>
      </c>
      <c r="B472" s="6" t="str">
        <f>'02-variable-info'!B472</f>
        <v>interruptNumber</v>
      </c>
      <c r="C472" s="6" t="str">
        <f>'02-variable-info'!M472</f>
        <v>int</v>
      </c>
      <c r="D472" s="6" t="str">
        <f>'02-variable-info'!H472</f>
        <v>number</v>
      </c>
    </row>
    <row r="473">
      <c r="A473" s="6" t="str">
        <f>'02-variable-info'!A473</f>
        <v>02-16-interrupt.csv</v>
      </c>
      <c r="B473" s="6" t="str">
        <f>'02-variable-info'!B473</f>
        <v>interrupt</v>
      </c>
      <c r="C473" s="6" t="str">
        <f>'02-variable-info'!M473</f>
        <v>bool</v>
      </c>
      <c r="D473" s="6" t="str">
        <f>'02-variable-info'!H473</f>
        <v>boolean</v>
      </c>
    </row>
    <row r="474">
      <c r="A474" s="6" t="str">
        <f>'02-variable-info'!A474</f>
        <v>02-16-interrupt.csv</v>
      </c>
      <c r="B474" s="6" t="str">
        <f>'02-variable-info'!B474</f>
        <v>interruptReason</v>
      </c>
      <c r="C474" s="6" t="str">
        <f>'02-variable-info'!M474</f>
        <v>interruptReason</v>
      </c>
      <c r="D474" s="6" t="str">
        <f>'02-variable-info'!H474</f>
        <v>nomial</v>
      </c>
    </row>
    <row r="475">
      <c r="A475" s="6" t="str">
        <f>'02-variable-info'!A475</f>
        <v>02-16-interrupt.csv</v>
      </c>
      <c r="B475" s="6" t="str">
        <f>'02-variable-info'!B475</f>
        <v>interruptReasonText</v>
      </c>
      <c r="C475" s="6" t="str">
        <f>'02-variable-info'!M475</f>
        <v>text</v>
      </c>
      <c r="D475" s="6" t="str">
        <f>'02-variable-info'!H475</f>
        <v>text</v>
      </c>
    </row>
    <row r="476">
      <c r="A476" s="6" t="str">
        <f>'02-variable-info'!A476</f>
        <v>02-16-interrupt.csv</v>
      </c>
      <c r="B476" s="6" t="str">
        <f>'02-variable-info'!B476</f>
        <v>interruptDate</v>
      </c>
      <c r="C476" s="6" t="str">
        <f>'02-variable-info'!M476</f>
        <v>date</v>
      </c>
      <c r="D476" s="6" t="str">
        <f>'02-variable-info'!H476</f>
        <v>date</v>
      </c>
    </row>
    <row r="477">
      <c r="A477" s="6" t="str">
        <f>'02-variable-info'!A477</f>
        <v>02-16-interrupt.csv</v>
      </c>
      <c r="B477" s="6" t="str">
        <f>'02-variable-info'!B477</f>
        <v>interruptTime</v>
      </c>
      <c r="C477" s="6" t="str">
        <f>'02-variable-info'!M477</f>
        <v>time</v>
      </c>
      <c r="D477" s="6" t="str">
        <f>'02-variable-info'!H477</f>
        <v>time</v>
      </c>
    </row>
    <row r="478">
      <c r="A478" s="6" t="str">
        <f>'02-variable-info'!A478</f>
        <v>02-16-interrupt.csv</v>
      </c>
      <c r="B478" s="6" t="str">
        <f>'02-variable-info'!B478</f>
        <v>interruptRestartDate</v>
      </c>
      <c r="C478" s="6" t="str">
        <f>'02-variable-info'!M478</f>
        <v>date</v>
      </c>
      <c r="D478" s="6" t="str">
        <f>'02-variable-info'!H478</f>
        <v>date</v>
      </c>
    </row>
    <row r="479">
      <c r="A479" s="6" t="str">
        <f>'02-variable-info'!A479</f>
        <v>02-16-interrupt.csv</v>
      </c>
      <c r="B479" s="6" t="str">
        <f>'02-variable-info'!B479</f>
        <v>interruptRestartTime</v>
      </c>
      <c r="C479" s="6" t="str">
        <f>'02-variable-info'!M479</f>
        <v>time</v>
      </c>
      <c r="D479" s="6" t="str">
        <f>'02-variable-info'!H479</f>
        <v>time</v>
      </c>
    </row>
    <row r="480">
      <c r="A480" s="6" t="str">
        <f>'02-variable-info'!A480</f>
        <v>02-16-interrupt.csv</v>
      </c>
      <c r="B480" s="6" t="str">
        <f>'02-variable-info'!B480</f>
        <v>interruptRestartEsophagealTemperature_C</v>
      </c>
      <c r="C480" s="6" t="str">
        <f>'02-variable-info'!M480</f>
        <v>float</v>
      </c>
      <c r="D480" s="6" t="str">
        <f>'02-variable-info'!H480</f>
        <v>number</v>
      </c>
    </row>
    <row r="481">
      <c r="A481" s="6" t="str">
        <f>'02-variable-info'!A481</f>
        <v>02-17-discontinue.csv</v>
      </c>
      <c r="B481" s="6" t="str">
        <f>'02-variable-info'!B481</f>
        <v>discontinueDate</v>
      </c>
      <c r="C481" s="6" t="str">
        <f>'02-variable-info'!M481</f>
        <v>date</v>
      </c>
      <c r="D481" s="6" t="str">
        <f>'02-variable-info'!H481</f>
        <v>date</v>
      </c>
    </row>
    <row r="482">
      <c r="A482" s="6" t="str">
        <f>'02-variable-info'!A482</f>
        <v>02-17-discontinue.csv</v>
      </c>
      <c r="B482" s="6" t="str">
        <f>'02-variable-info'!B482</f>
        <v>discontinueTime</v>
      </c>
      <c r="C482" s="6" t="str">
        <f>'02-variable-info'!M482</f>
        <v>time</v>
      </c>
      <c r="D482" s="6" t="str">
        <f>'02-variable-info'!H482</f>
        <v>time</v>
      </c>
    </row>
    <row r="483">
      <c r="A483" s="6" t="str">
        <f>'02-variable-info'!A483</f>
        <v>02-17-discontinue.csv</v>
      </c>
      <c r="B483" s="6" t="str">
        <f>'02-variable-info'!B483</f>
        <v>discontinueBeforeEndPeriod</v>
      </c>
      <c r="C483" s="6" t="str">
        <f>'02-variable-info'!M483</f>
        <v>bool</v>
      </c>
      <c r="D483" s="6" t="str">
        <f>'02-variable-info'!H483</f>
        <v>boolean</v>
      </c>
    </row>
    <row r="484">
      <c r="A484" s="6" t="str">
        <f>'02-variable-info'!A484</f>
        <v>02-17-discontinue.csv</v>
      </c>
      <c r="B484" s="6" t="str">
        <f>'02-variable-info'!B484</f>
        <v>discontinueParentsWithdraw</v>
      </c>
      <c r="C484" s="6" t="str">
        <f>'02-variable-info'!M484</f>
        <v>bool</v>
      </c>
      <c r="D484" s="6" t="str">
        <f>'02-variable-info'!H484</f>
        <v>boolean</v>
      </c>
    </row>
    <row r="485">
      <c r="A485" s="6" t="str">
        <f>'02-variable-info'!A485</f>
        <v>02-17-discontinue.csv</v>
      </c>
      <c r="B485" s="6" t="str">
        <f>'02-variable-info'!B485</f>
        <v>discontinuePhysicianWithdraw</v>
      </c>
      <c r="C485" s="6" t="str">
        <f>'02-variable-info'!M485</f>
        <v>bool</v>
      </c>
      <c r="D485" s="6" t="str">
        <f>'02-variable-info'!H485</f>
        <v>boolean</v>
      </c>
    </row>
    <row r="486">
      <c r="A486" s="6" t="str">
        <f>'02-variable-info'!A486</f>
        <v>02-17-discontinue.csv</v>
      </c>
      <c r="B486" s="6" t="str">
        <f>'02-variable-info'!B486</f>
        <v>discontinueAdverseEvent</v>
      </c>
      <c r="C486" s="6" t="str">
        <f>'02-variable-info'!M486</f>
        <v>bool</v>
      </c>
      <c r="D486" s="6" t="str">
        <f>'02-variable-info'!H486</f>
        <v>boolean</v>
      </c>
    </row>
    <row r="487">
      <c r="A487" s="6" t="str">
        <f>'02-variable-info'!A487</f>
        <v>02-17-discontinue.csv</v>
      </c>
      <c r="B487" s="6" t="str">
        <f>'02-variable-info'!B487</f>
        <v>discontinueECMO</v>
      </c>
      <c r="C487" s="6" t="str">
        <f>'02-variable-info'!M487</f>
        <v>bool</v>
      </c>
      <c r="D487" s="6" t="str">
        <f>'02-variable-info'!H487</f>
        <v>boolean</v>
      </c>
    </row>
    <row r="488">
      <c r="A488" s="6" t="str">
        <f>'02-variable-info'!A488</f>
        <v>02-17-discontinue.csv</v>
      </c>
      <c r="B488" s="6" t="str">
        <f>'02-variable-info'!B488</f>
        <v>discontinueDNR</v>
      </c>
      <c r="C488" s="6" t="str">
        <f>'02-variable-info'!M488</f>
        <v>bool</v>
      </c>
      <c r="D488" s="6" t="str">
        <f>'02-variable-info'!H488</f>
        <v>boolean</v>
      </c>
    </row>
    <row r="489">
      <c r="A489" s="6" t="str">
        <f>'02-variable-info'!A489</f>
        <v>02-17-discontinue.csv</v>
      </c>
      <c r="B489" s="6" t="str">
        <f>'02-variable-info'!B489</f>
        <v>discontinueWdrawSupport</v>
      </c>
      <c r="C489" s="6" t="str">
        <f>'02-variable-info'!M489</f>
        <v>bool</v>
      </c>
      <c r="D489" s="6" t="str">
        <f>'02-variable-info'!H489</f>
        <v>boolean</v>
      </c>
    </row>
    <row r="490">
      <c r="A490" s="6" t="str">
        <f>'02-variable-info'!A490</f>
        <v>02-17-discontinue.csv</v>
      </c>
      <c r="B490" s="6" t="str">
        <f>'02-variable-info'!B490</f>
        <v>discontinueDeath</v>
      </c>
      <c r="C490" s="6" t="str">
        <f>'02-variable-info'!M490</f>
        <v>bool</v>
      </c>
      <c r="D490" s="6" t="str">
        <f>'02-variable-info'!H490</f>
        <v>boolean</v>
      </c>
    </row>
    <row r="491">
      <c r="A491" s="6" t="str">
        <f>'02-variable-info'!A491</f>
        <v>02-17-discontinue.csv</v>
      </c>
      <c r="B491" s="6" t="str">
        <f>'02-variable-info'!B491</f>
        <v>discontinueOther</v>
      </c>
      <c r="C491" s="6" t="str">
        <f>'02-variable-info'!M491</f>
        <v>bool</v>
      </c>
      <c r="D491" s="6" t="str">
        <f>'02-variable-info'!H491</f>
        <v>boolean</v>
      </c>
    </row>
    <row r="492">
      <c r="A492" s="6" t="str">
        <f>'02-variable-info'!A492</f>
        <v>02-17-discontinue.csv</v>
      </c>
      <c r="B492" s="6" t="str">
        <f>'02-variable-info'!B492</f>
        <v>discontinueOtherText</v>
      </c>
      <c r="C492" s="6" t="str">
        <f>'02-variable-info'!M492</f>
        <v>text</v>
      </c>
      <c r="D492" s="6" t="str">
        <f>'02-variable-info'!H492</f>
        <v>text</v>
      </c>
    </row>
    <row r="493">
      <c r="A493" s="6" t="str">
        <f>'02-variable-info'!A493</f>
        <v>03-01-post-temperature.csv</v>
      </c>
      <c r="B493" s="6" t="str">
        <f>'02-variable-info'!B493</f>
        <v>post_TemperatureTimeSlot_day</v>
      </c>
      <c r="C493" s="6" t="str">
        <f>'02-variable-info'!M493</f>
        <v>int</v>
      </c>
      <c r="D493" s="6" t="str">
        <f>'02-variable-info'!H493</f>
        <v>number</v>
      </c>
    </row>
    <row r="494">
      <c r="A494" s="6" t="str">
        <f>'02-variable-info'!A494</f>
        <v>03-01-post-temperature.csv</v>
      </c>
      <c r="B494" s="6" t="str">
        <f>'02-variable-info'!B494</f>
        <v>post_TemperatureDate</v>
      </c>
      <c r="C494" s="6" t="str">
        <f>'02-variable-info'!M494</f>
        <v>date</v>
      </c>
      <c r="D494" s="6" t="str">
        <f>'02-variable-info'!H494</f>
        <v>date</v>
      </c>
    </row>
    <row r="495">
      <c r="A495" s="6" t="str">
        <f>'02-variable-info'!A495</f>
        <v>03-01-post-temperature.csv</v>
      </c>
      <c r="B495" s="6" t="str">
        <f>'02-variable-info'!B495</f>
        <v>post_TemperatureTime</v>
      </c>
      <c r="C495" s="6" t="str">
        <f>'02-variable-info'!M495</f>
        <v>time</v>
      </c>
      <c r="D495" s="6" t="str">
        <f>'02-variable-info'!H495</f>
        <v>time</v>
      </c>
    </row>
    <row r="496">
      <c r="A496" s="6" t="str">
        <f>'02-variable-info'!A496</f>
        <v>03-01-post-temperature.csv</v>
      </c>
      <c r="B496" s="6" t="str">
        <f>'02-variable-info'!B496</f>
        <v>post_SkinTemperature_C</v>
      </c>
      <c r="C496" s="6" t="str">
        <f>'02-variable-info'!M496</f>
        <v>float</v>
      </c>
      <c r="D496" s="6" t="str">
        <f>'02-variable-info'!H496</f>
        <v>number</v>
      </c>
    </row>
    <row r="497">
      <c r="A497" s="6" t="str">
        <f>'02-variable-info'!A497</f>
        <v>03-01-post-temperature.csv</v>
      </c>
      <c r="B497" s="6" t="str">
        <f>'02-variable-info'!B497</f>
        <v>post_AxillaryTemperature_C</v>
      </c>
      <c r="C497" s="6" t="str">
        <f>'02-variable-info'!M497</f>
        <v>float</v>
      </c>
      <c r="D497" s="6" t="str">
        <f>'02-variable-info'!H497</f>
        <v>number</v>
      </c>
    </row>
    <row r="498">
      <c r="A498" s="6" t="str">
        <f>'02-variable-info'!A498</f>
        <v>03-01-post-temperature.csv</v>
      </c>
      <c r="B498" s="6" t="str">
        <f>'02-variable-info'!B498</f>
        <v>post_AlterationSkinIntegrity</v>
      </c>
      <c r="C498" s="6" t="str">
        <f>'02-variable-info'!M498</f>
        <v>bool</v>
      </c>
      <c r="D498" s="6" t="str">
        <f>'02-variable-info'!H498</f>
        <v>boolean</v>
      </c>
    </row>
    <row r="499">
      <c r="A499" s="6" t="str">
        <f>'02-variable-info'!A499</f>
        <v>03-01-post-temperature.csv</v>
      </c>
      <c r="B499" s="6" t="str">
        <f>'02-variable-info'!B499</f>
        <v>post_Shiver</v>
      </c>
      <c r="C499" s="6" t="str">
        <f>'02-variable-info'!M499</f>
        <v>bool</v>
      </c>
      <c r="D499" s="6" t="str">
        <f>'02-variable-info'!H499</f>
        <v>boolean</v>
      </c>
    </row>
    <row r="500">
      <c r="A500" s="6" t="str">
        <f>'02-variable-info'!A500</f>
        <v>03-01_s-post-temperature.csv</v>
      </c>
      <c r="B500" s="6" t="str">
        <f>'02-variable-info'!B500</f>
        <v>normothermiaAtEndIntervention</v>
      </c>
      <c r="C500" s="6" t="str">
        <f>'02-variable-info'!M500</f>
        <v>bool</v>
      </c>
      <c r="D500" s="6" t="str">
        <f>'02-variable-info'!H500</f>
        <v>boolean</v>
      </c>
    </row>
    <row r="501">
      <c r="A501" s="6" t="str">
        <f>'02-variable-info'!A501</f>
        <v>03-01_s-post-temperature.csv</v>
      </c>
      <c r="B501" s="6" t="str">
        <f>'02-variable-info'!B501</f>
        <v>normothermiaDate</v>
      </c>
      <c r="C501" s="6" t="str">
        <f>'02-variable-info'!M501</f>
        <v>date</v>
      </c>
      <c r="D501" s="6" t="str">
        <f>'02-variable-info'!H501</f>
        <v>date</v>
      </c>
    </row>
    <row r="502">
      <c r="A502" s="6" t="str">
        <f>'02-variable-info'!A502</f>
        <v>03-01_s-post-temperature.csv</v>
      </c>
      <c r="B502" s="6" t="str">
        <f>'02-variable-info'!B502</f>
        <v>normothermiaTime</v>
      </c>
      <c r="C502" s="6" t="str">
        <f>'02-variable-info'!M502</f>
        <v>time</v>
      </c>
      <c r="D502" s="6" t="str">
        <f>'02-variable-info'!H502</f>
        <v>time</v>
      </c>
    </row>
    <row r="503">
      <c r="A503" s="6" t="str">
        <f>'02-variable-info'!A503</f>
        <v>03-01_s-post-temperature.csv</v>
      </c>
      <c r="B503" s="6" t="str">
        <f>'02-variable-info'!B503</f>
        <v>normothermiaAxillaryTemperature_C</v>
      </c>
      <c r="C503" s="6" t="str">
        <f>'02-variable-info'!M503</f>
        <v>float</v>
      </c>
      <c r="D503" s="6" t="str">
        <f>'02-variable-info'!H503</f>
        <v>number</v>
      </c>
    </row>
    <row r="504">
      <c r="A504" s="6" t="str">
        <f>'02-variable-info'!A504</f>
        <v>03-01_s-post-temperature.csv</v>
      </c>
      <c r="B504" s="6" t="str">
        <f>'02-variable-info'!B504</f>
        <v>noNormothermiaReason</v>
      </c>
      <c r="C504" s="6" t="str">
        <f>'02-variable-info'!M504</f>
        <v>text</v>
      </c>
      <c r="D504" s="6" t="str">
        <f>'02-variable-info'!H504</f>
        <v>text</v>
      </c>
    </row>
    <row r="505">
      <c r="A505" s="6" t="str">
        <f>'02-variable-info'!A505</f>
        <v>03-01_s-post-temperature.csv</v>
      </c>
      <c r="B505" s="6" t="str">
        <f>'02-variable-info'!B505</f>
        <v>coolAfterIntervention</v>
      </c>
      <c r="C505" s="6" t="str">
        <f>'02-variable-info'!M505</f>
        <v>coolAfterIntervention</v>
      </c>
      <c r="D505" s="6" t="str">
        <f>'02-variable-info'!H505</f>
        <v>nomial</v>
      </c>
    </row>
    <row r="506">
      <c r="A506" s="6" t="str">
        <f>'02-variable-info'!A506</f>
        <v>03-01_s-post-temperature.csv</v>
      </c>
      <c r="B506" s="6" t="str">
        <f>'02-variable-info'!B506</f>
        <v>coolAfterInterventionText</v>
      </c>
      <c r="C506" s="6" t="str">
        <f>'02-variable-info'!M506</f>
        <v>text</v>
      </c>
      <c r="D506" s="6" t="str">
        <f>'02-variable-info'!H506</f>
        <v>text</v>
      </c>
    </row>
    <row r="507">
      <c r="A507" s="6" t="str">
        <f>'02-variable-info'!A507</f>
        <v>03-02-post-blood-value.csv</v>
      </c>
      <c r="B507" s="6" t="str">
        <f>'02-variable-info'!B507</f>
        <v>post_BloodValueASTSGOT_UPerL</v>
      </c>
      <c r="C507" s="6" t="str">
        <f>'02-variable-info'!M507</f>
        <v>float</v>
      </c>
      <c r="D507" s="6" t="str">
        <f>'02-variable-info'!H507</f>
        <v>number</v>
      </c>
    </row>
    <row r="508">
      <c r="A508" s="6" t="str">
        <f>'02-variable-info'!A508</f>
        <v>03-02-post-blood-value.csv</v>
      </c>
      <c r="B508" s="6" t="str">
        <f>'02-variable-info'!B508</f>
        <v>post_BloodValueASTSGOT_UPerLDate</v>
      </c>
      <c r="C508" s="6" t="str">
        <f>'02-variable-info'!M508</f>
        <v>date</v>
      </c>
      <c r="D508" s="6" t="str">
        <f>'02-variable-info'!H508</f>
        <v>date</v>
      </c>
    </row>
    <row r="509">
      <c r="A509" s="6" t="str">
        <f>'02-variable-info'!A509</f>
        <v>03-02-post-blood-value.csv</v>
      </c>
      <c r="B509" s="6" t="str">
        <f>'02-variable-info'!B509</f>
        <v>post_BloodValueALTSGPT_UPerL</v>
      </c>
      <c r="C509" s="6" t="str">
        <f>'02-variable-info'!M509</f>
        <v>float</v>
      </c>
      <c r="D509" s="6" t="str">
        <f>'02-variable-info'!H509</f>
        <v>number</v>
      </c>
    </row>
    <row r="510">
      <c r="A510" s="6" t="str">
        <f>'02-variable-info'!A510</f>
        <v>03-02-post-blood-value.csv</v>
      </c>
      <c r="B510" s="6" t="str">
        <f>'02-variable-info'!B510</f>
        <v>post_BloodValueALTSGPT_UPerLDate</v>
      </c>
      <c r="C510" s="6" t="str">
        <f>'02-variable-info'!M510</f>
        <v>date</v>
      </c>
      <c r="D510" s="6" t="str">
        <f>'02-variable-info'!H510</f>
        <v>date</v>
      </c>
    </row>
    <row r="511">
      <c r="A511" s="6" t="str">
        <f>'02-variable-info'!A511</f>
        <v>03-02-post-blood-value.csv</v>
      </c>
      <c r="B511" s="6" t="str">
        <f>'02-variable-info'!B511</f>
        <v>post_BloodValueTotalBilirubin_mgPerdL</v>
      </c>
      <c r="C511" s="6" t="str">
        <f>'02-variable-info'!M511</f>
        <v>float</v>
      </c>
      <c r="D511" s="6" t="str">
        <f>'02-variable-info'!H511</f>
        <v>number</v>
      </c>
    </row>
    <row r="512">
      <c r="A512" s="6" t="str">
        <f>'02-variable-info'!A512</f>
        <v>03-02-post-blood-value.csv</v>
      </c>
      <c r="B512" s="6" t="str">
        <f>'02-variable-info'!B512</f>
        <v>post_BloodValueTotalBilirubin_mgPerdLDate</v>
      </c>
      <c r="C512" s="6" t="str">
        <f>'02-variable-info'!M512</f>
        <v>date</v>
      </c>
      <c r="D512" s="6" t="str">
        <f>'02-variable-info'!H512</f>
        <v>date</v>
      </c>
    </row>
    <row r="513">
      <c r="A513" s="6" t="str">
        <f>'02-variable-info'!A513</f>
        <v>03-03-post-imaging.csv</v>
      </c>
      <c r="B513" s="6" t="str">
        <f>'02-variable-info'!B513</f>
        <v>post_HeadSonogram</v>
      </c>
      <c r="C513" s="6" t="str">
        <f>'02-variable-info'!M513</f>
        <v>bool</v>
      </c>
      <c r="D513" s="6" t="str">
        <f>'02-variable-info'!H513</f>
        <v>boolean</v>
      </c>
    </row>
    <row r="514">
      <c r="A514" s="6" t="str">
        <f>'02-variable-info'!A514</f>
        <v>03-03-post-imaging.csv</v>
      </c>
      <c r="B514" s="6" t="str">
        <f>'02-variable-info'!B514</f>
        <v>post_HeadSonogramDate</v>
      </c>
      <c r="C514" s="6" t="str">
        <f>'02-variable-info'!M514</f>
        <v>date</v>
      </c>
      <c r="D514" s="6" t="str">
        <f>'02-variable-info'!H514</f>
        <v>date</v>
      </c>
    </row>
    <row r="515">
      <c r="A515" s="6" t="str">
        <f>'02-variable-info'!A515</f>
        <v>03-03-post-imaging.csv</v>
      </c>
      <c r="B515" s="6" t="str">
        <f>'02-variable-info'!B515</f>
        <v>post_HeadSonogramTime</v>
      </c>
      <c r="C515" s="6" t="str">
        <f>'02-variable-info'!M515</f>
        <v>time</v>
      </c>
      <c r="D515" s="6" t="str">
        <f>'02-variable-info'!H515</f>
        <v>time</v>
      </c>
    </row>
    <row r="516">
      <c r="A516" s="6" t="str">
        <f>'02-variable-info'!A516</f>
        <v>03-03-post-imaging.csv</v>
      </c>
      <c r="B516" s="6" t="str">
        <f>'02-variable-info'!B516</f>
        <v>post_HeadSonogramResult1</v>
      </c>
      <c r="C516" s="6" t="str">
        <f>'02-variable-info'!M516</f>
        <v>imaging</v>
      </c>
      <c r="D516" s="6" t="str">
        <f>'02-variable-info'!H516</f>
        <v>nomial</v>
      </c>
    </row>
    <row r="517">
      <c r="A517" s="6" t="str">
        <f>'02-variable-info'!A517</f>
        <v>03-03-post-imaging.csv</v>
      </c>
      <c r="B517" s="6" t="str">
        <f>'02-variable-info'!B517</f>
        <v>post_HeadSonogramResultText</v>
      </c>
      <c r="C517" s="6" t="str">
        <f>'02-variable-info'!M517</f>
        <v>text</v>
      </c>
      <c r="D517" s="6" t="str">
        <f>'02-variable-info'!H517</f>
        <v>text</v>
      </c>
    </row>
    <row r="518">
      <c r="A518" s="6" t="str">
        <f>'02-variable-info'!A518</f>
        <v>03-03-post-imaging.csv</v>
      </c>
      <c r="B518" s="6" t="str">
        <f>'02-variable-info'!B518</f>
        <v>post_HeadCT</v>
      </c>
      <c r="C518" s="6" t="str">
        <f>'02-variable-info'!M518</f>
        <v>bool</v>
      </c>
      <c r="D518" s="6" t="str">
        <f>'02-variable-info'!H518</f>
        <v>boolean</v>
      </c>
    </row>
    <row r="519">
      <c r="A519" s="6" t="str">
        <f>'02-variable-info'!A519</f>
        <v>03-03-post-imaging.csv</v>
      </c>
      <c r="B519" s="6" t="str">
        <f>'02-variable-info'!B519</f>
        <v>post_HeadCTDate</v>
      </c>
      <c r="C519" s="6" t="str">
        <f>'02-variable-info'!M519</f>
        <v>date</v>
      </c>
      <c r="D519" s="6" t="str">
        <f>'02-variable-info'!H519</f>
        <v>date</v>
      </c>
    </row>
    <row r="520">
      <c r="A520" s="6" t="str">
        <f>'02-variable-info'!A520</f>
        <v>03-03-post-imaging.csv</v>
      </c>
      <c r="B520" s="6" t="str">
        <f>'02-variable-info'!B520</f>
        <v>post_HeadCTTime</v>
      </c>
      <c r="C520" s="6" t="str">
        <f>'02-variable-info'!M520</f>
        <v>time</v>
      </c>
      <c r="D520" s="6" t="str">
        <f>'02-variable-info'!H520</f>
        <v>time</v>
      </c>
    </row>
    <row r="521">
      <c r="A521" s="6" t="str">
        <f>'02-variable-info'!A521</f>
        <v>03-03-post-imaging.csv</v>
      </c>
      <c r="B521" s="6" t="str">
        <f>'02-variable-info'!B521</f>
        <v>post_HeadCTResult1</v>
      </c>
      <c r="C521" s="6" t="str">
        <f>'02-variable-info'!M521</f>
        <v>imaging</v>
      </c>
      <c r="D521" s="6" t="str">
        <f>'02-variable-info'!H521</f>
        <v>nomial</v>
      </c>
    </row>
    <row r="522">
      <c r="A522" s="6" t="str">
        <f>'02-variable-info'!A522</f>
        <v>03-03-post-imaging.csv</v>
      </c>
      <c r="B522" s="6" t="str">
        <f>'02-variable-info'!B522</f>
        <v>post_HeadCTResultText</v>
      </c>
      <c r="C522" s="6" t="str">
        <f>'02-variable-info'!M522</f>
        <v>text</v>
      </c>
      <c r="D522" s="6" t="str">
        <f>'02-variable-info'!H522</f>
        <v>text</v>
      </c>
    </row>
    <row r="523">
      <c r="A523" s="6" t="str">
        <f>'02-variable-info'!A523</f>
        <v>03-03-post-imaging.csv</v>
      </c>
      <c r="B523" s="6" t="str">
        <f>'02-variable-info'!B523</f>
        <v>post_BrainMRI</v>
      </c>
      <c r="C523" s="6" t="str">
        <f>'02-variable-info'!M523</f>
        <v>bool</v>
      </c>
      <c r="D523" s="6" t="str">
        <f>'02-variable-info'!H523</f>
        <v>boolean</v>
      </c>
    </row>
    <row r="524">
      <c r="A524" s="6" t="str">
        <f>'02-variable-info'!A524</f>
        <v>03-03-post-imaging.csv</v>
      </c>
      <c r="B524" s="6" t="str">
        <f>'02-variable-info'!B524</f>
        <v>post_BrainMRIDate</v>
      </c>
      <c r="C524" s="6" t="str">
        <f>'02-variable-info'!M524</f>
        <v>date</v>
      </c>
      <c r="D524" s="6" t="str">
        <f>'02-variable-info'!H524</f>
        <v>date</v>
      </c>
    </row>
    <row r="525">
      <c r="A525" s="6" t="str">
        <f>'02-variable-info'!A525</f>
        <v>03-03-post-imaging.csv</v>
      </c>
      <c r="B525" s="6" t="str">
        <f>'02-variable-info'!B525</f>
        <v>post_BrainMRITime</v>
      </c>
      <c r="C525" s="6" t="str">
        <f>'02-variable-info'!M525</f>
        <v>time</v>
      </c>
      <c r="D525" s="6" t="str">
        <f>'02-variable-info'!H525</f>
        <v>time</v>
      </c>
    </row>
    <row r="526">
      <c r="A526" s="6" t="str">
        <f>'02-variable-info'!A526</f>
        <v>03-03-post-imaging.csv</v>
      </c>
      <c r="B526" s="6" t="str">
        <f>'02-variable-info'!B526</f>
        <v>post_BrainMRIResult1</v>
      </c>
      <c r="C526" s="6" t="str">
        <f>'02-variable-info'!M526</f>
        <v>imaging</v>
      </c>
      <c r="D526" s="6" t="str">
        <f>'02-variable-info'!H526</f>
        <v>nomial</v>
      </c>
    </row>
    <row r="527">
      <c r="A527" s="6" t="str">
        <f>'02-variable-info'!A527</f>
        <v>03-03-post-imaging.csv</v>
      </c>
      <c r="B527" s="6" t="str">
        <f>'02-variable-info'!B527</f>
        <v>post_BrainMRIResultText</v>
      </c>
      <c r="C527" s="6" t="str">
        <f>'02-variable-info'!M527</f>
        <v>text</v>
      </c>
      <c r="D527" s="6" t="str">
        <f>'02-variable-info'!H527</f>
        <v>text</v>
      </c>
    </row>
    <row r="528">
      <c r="A528" s="6" t="str">
        <f>'02-variable-info'!A528</f>
        <v>03-04-post-neuro-exam.csv</v>
      </c>
      <c r="B528" s="6" t="str">
        <f>'02-variable-info'!B528</f>
        <v>post_NeuroExamDate</v>
      </c>
      <c r="C528" s="6" t="str">
        <f>'02-variable-info'!M528</f>
        <v>date</v>
      </c>
      <c r="D528" s="6" t="str">
        <f>'02-variable-info'!H528</f>
        <v>date</v>
      </c>
    </row>
    <row r="529">
      <c r="A529" s="6" t="str">
        <f>'02-variable-info'!A529</f>
        <v>03-04-post-neuro-exam.csv</v>
      </c>
      <c r="B529" s="6" t="str">
        <f>'02-variable-info'!B529</f>
        <v>post_NeuroExamTime</v>
      </c>
      <c r="C529" s="6" t="str">
        <f>'02-variable-info'!M529</f>
        <v>time</v>
      </c>
      <c r="D529" s="6" t="str">
        <f>'02-variable-info'!H529</f>
        <v>time</v>
      </c>
    </row>
    <row r="530">
      <c r="A530" s="6" t="str">
        <f>'02-variable-info'!A530</f>
        <v>03-04-post-neuro-exam.csv</v>
      </c>
      <c r="B530" s="6" t="str">
        <f>'02-variable-info'!B530</f>
        <v>post_NeuroExamLevelConsciousness</v>
      </c>
      <c r="C530" s="6" t="str">
        <f>'02-variable-info'!M530</f>
        <v>signOfHIELvlOfCons</v>
      </c>
      <c r="D530" s="6" t="str">
        <f>'02-variable-info'!H530</f>
        <v>ordinal</v>
      </c>
    </row>
    <row r="531">
      <c r="A531" s="6" t="str">
        <f>'02-variable-info'!A531</f>
        <v>03-04-post-neuro-exam.csv</v>
      </c>
      <c r="B531" s="6" t="str">
        <f>'02-variable-info'!B531</f>
        <v>post_NeuroExamSpontaneousActivity</v>
      </c>
      <c r="C531" s="6" t="str">
        <f>'02-variable-info'!M531</f>
        <v>signOfHIESpontaneousActivity</v>
      </c>
      <c r="D531" s="6" t="str">
        <f>'02-variable-info'!H531</f>
        <v>ordinal</v>
      </c>
    </row>
    <row r="532">
      <c r="A532" s="6" t="str">
        <f>'02-variable-info'!A532</f>
        <v>03-04-post-neuro-exam.csv</v>
      </c>
      <c r="B532" s="6" t="str">
        <f>'02-variable-info'!B532</f>
        <v>post_NeuroExamPosture</v>
      </c>
      <c r="C532" s="6" t="str">
        <f>'02-variable-info'!M532</f>
        <v>signOfHIEPosture</v>
      </c>
      <c r="D532" s="6" t="str">
        <f>'02-variable-info'!H532</f>
        <v>ordinal</v>
      </c>
    </row>
    <row r="533">
      <c r="A533" s="6" t="str">
        <f>'02-variable-info'!A533</f>
        <v>03-04-post-neuro-exam.csv</v>
      </c>
      <c r="B533" s="6" t="str">
        <f>'02-variable-info'!B533</f>
        <v>post_NeuroExamTone</v>
      </c>
      <c r="C533" s="6" t="str">
        <f>'02-variable-info'!M533</f>
        <v>signOfHIETone</v>
      </c>
      <c r="D533" s="6" t="str">
        <f>'02-variable-info'!H533</f>
        <v>ordinal</v>
      </c>
    </row>
    <row r="534">
      <c r="A534" s="6" t="str">
        <f>'02-variable-info'!A534</f>
        <v>03-04-post-neuro-exam.csv</v>
      </c>
      <c r="B534" s="6" t="str">
        <f>'02-variable-info'!B534</f>
        <v>post_NeuroExamSuck</v>
      </c>
      <c r="C534" s="6" t="str">
        <f>'02-variable-info'!M534</f>
        <v>signOfHIESuck</v>
      </c>
      <c r="D534" s="6" t="str">
        <f>'02-variable-info'!H534</f>
        <v>ordinal</v>
      </c>
    </row>
    <row r="535">
      <c r="A535" s="6" t="str">
        <f>'02-variable-info'!A535</f>
        <v>03-04-post-neuro-exam.csv</v>
      </c>
      <c r="B535" s="6" t="str">
        <f>'02-variable-info'!B535</f>
        <v>post_NeuroExamMoro</v>
      </c>
      <c r="C535" s="6" t="str">
        <f>'02-variable-info'!M535</f>
        <v>signOfHIEMoro</v>
      </c>
      <c r="D535" s="6" t="str">
        <f>'02-variable-info'!H535</f>
        <v>ordinal</v>
      </c>
    </row>
    <row r="536">
      <c r="A536" s="6" t="str">
        <f>'02-variable-info'!A536</f>
        <v>03-04-post-neuro-exam.csv</v>
      </c>
      <c r="B536" s="6" t="str">
        <f>'02-variable-info'!B536</f>
        <v>post_NeuroExamPupils</v>
      </c>
      <c r="C536" s="6" t="str">
        <f>'02-variable-info'!M536</f>
        <v>signOfHIEPupils</v>
      </c>
      <c r="D536" s="6" t="str">
        <f>'02-variable-info'!H536</f>
        <v>ordinal</v>
      </c>
    </row>
    <row r="537">
      <c r="A537" s="6" t="str">
        <f>'02-variable-info'!A537</f>
        <v>03-04-post-neuro-exam.csv</v>
      </c>
      <c r="B537" s="6" t="str">
        <f>'02-variable-info'!B537</f>
        <v>post_NeuroExamHeartRate</v>
      </c>
      <c r="C537" s="6" t="str">
        <f>'02-variable-info'!M537</f>
        <v>signOfHIEHeartRate</v>
      </c>
      <c r="D537" s="6" t="str">
        <f>'02-variable-info'!H537</f>
        <v>ordinal</v>
      </c>
    </row>
    <row r="538">
      <c r="A538" s="6" t="str">
        <f>'02-variable-info'!A538</f>
        <v>03-04-post-neuro-exam.csv</v>
      </c>
      <c r="B538" s="6" t="str">
        <f>'02-variable-info'!B538</f>
        <v>post_NeuroExamRespiration</v>
      </c>
      <c r="C538" s="6" t="str">
        <f>'02-variable-info'!M538</f>
        <v>signOfHIERespiratory</v>
      </c>
      <c r="D538" s="6" t="str">
        <f>'02-variable-info'!H538</f>
        <v>ordinal</v>
      </c>
    </row>
    <row r="539">
      <c r="A539" s="6" t="str">
        <f>'02-variable-info'!A539</f>
        <v>03-04-post-neuro-exam.csv</v>
      </c>
      <c r="B539" s="6" t="str">
        <f>'02-variable-info'!B539</f>
        <v>post_NeuroExamSeizure</v>
      </c>
      <c r="C539" s="6" t="str">
        <f>'02-variable-info'!M539</f>
        <v>bool</v>
      </c>
      <c r="D539" s="6" t="str">
        <f>'02-variable-info'!H539</f>
        <v>boolean</v>
      </c>
    </row>
    <row r="540">
      <c r="A540" s="6" t="str">
        <f>'02-variable-info'!A540</f>
        <v>03-04-post-neuro-exam.csv</v>
      </c>
      <c r="B540" s="6" t="str">
        <f>'02-variable-info'!B540</f>
        <v>post_NeuroExamSedate</v>
      </c>
      <c r="C540" s="6" t="str">
        <f>'02-variable-info'!M540</f>
        <v>bool</v>
      </c>
      <c r="D540" s="6" t="str">
        <f>'02-variable-info'!H540</f>
        <v>boolean</v>
      </c>
    </row>
    <row r="541">
      <c r="A541" s="6" t="str">
        <f>'02-variable-info'!A541</f>
        <v>03-04-post-neuro-exam.csv</v>
      </c>
      <c r="B541" s="6" t="str">
        <f>'02-variable-info'!B541</f>
        <v>post_NeuroExamClonusSustained</v>
      </c>
      <c r="C541" s="6" t="str">
        <f>'02-variable-info'!M541</f>
        <v>bool</v>
      </c>
      <c r="D541" s="6" t="str">
        <f>'02-variable-info'!H541</f>
        <v>boolean</v>
      </c>
    </row>
    <row r="542">
      <c r="A542" s="6" t="str">
        <f>'02-variable-info'!A542</f>
        <v>03-04-post-neuro-exam.csv</v>
      </c>
      <c r="B542" s="6" t="str">
        <f>'02-variable-info'!B542</f>
        <v>post_NeuroExamFistedHand</v>
      </c>
      <c r="C542" s="6" t="str">
        <f>'02-variable-info'!M542</f>
        <v>bool</v>
      </c>
      <c r="D542" s="6" t="str">
        <f>'02-variable-info'!H542</f>
        <v>boolean</v>
      </c>
    </row>
    <row r="543">
      <c r="A543" s="6" t="str">
        <f>'02-variable-info'!A543</f>
        <v>03-04-post-neuro-exam.csv</v>
      </c>
      <c r="B543" s="6" t="str">
        <f>'02-variable-info'!B543</f>
        <v>post_NeuroExamAbnormalMovement</v>
      </c>
      <c r="C543" s="6" t="str">
        <f>'02-variable-info'!M543</f>
        <v>bool</v>
      </c>
      <c r="D543" s="6" t="str">
        <f>'02-variable-info'!H543</f>
        <v>boolean</v>
      </c>
    </row>
    <row r="544">
      <c r="A544" s="6" t="str">
        <f>'02-variable-info'!A544</f>
        <v>03-04-post-neuro-exam.csv</v>
      </c>
      <c r="B544" s="6" t="str">
        <f>'02-variable-info'!B544</f>
        <v>post_NeuroExamGagReflexAbsent</v>
      </c>
      <c r="C544" s="6" t="str">
        <f>'02-variable-info'!M544</f>
        <v>bool</v>
      </c>
      <c r="D544" s="6" t="str">
        <f>'02-variable-info'!H544</f>
        <v>boolean</v>
      </c>
    </row>
    <row r="545">
      <c r="A545" s="6" t="str">
        <f>'02-variable-info'!A545</f>
        <v>03-04-post-neuro-exam.csv</v>
      </c>
      <c r="B545" s="6" t="str">
        <f>'02-variable-info'!B545</f>
        <v>post_NeuroExamHypertonia</v>
      </c>
      <c r="C545" s="6" t="str">
        <f>'02-variable-info'!M545</f>
        <v>bool</v>
      </c>
      <c r="D545" s="6" t="str">
        <f>'02-variable-info'!H545</f>
        <v>boolean</v>
      </c>
    </row>
    <row r="546">
      <c r="A546" s="6" t="str">
        <f>'02-variable-info'!A546</f>
        <v>03-04-post-neuro-exam.csv</v>
      </c>
      <c r="B546" s="6" t="str">
        <f>'02-variable-info'!B546</f>
        <v>post_NeuroExamAsymTonicNeckReflex</v>
      </c>
      <c r="C546" s="6" t="str">
        <f>'02-variable-info'!M546</f>
        <v>bool</v>
      </c>
      <c r="D546" s="6" t="str">
        <f>'02-variable-info'!H546</f>
        <v>boolean</v>
      </c>
    </row>
    <row r="547">
      <c r="A547" s="6" t="str">
        <f>'02-variable-info'!A547</f>
        <v>03-04_1-total-modified-sarnat.csv</v>
      </c>
      <c r="B547" s="6" t="str">
        <f>'02-variable-info'!B547</f>
        <v>post_NeuroExamReflexScore</v>
      </c>
      <c r="C547" s="6" t="str">
        <f>'02-variable-info'!M547</f>
        <v>int</v>
      </c>
      <c r="D547" s="6" t="str">
        <f>'02-variable-info'!H547</f>
        <v>number</v>
      </c>
    </row>
    <row r="548">
      <c r="A548" s="6" t="str">
        <f>'02-variable-info'!A548</f>
        <v>03-04_1-total-modified-sarnat.csv</v>
      </c>
      <c r="B548" s="6" t="str">
        <f>'02-variable-info'!B548</f>
        <v>post_NeuroExamANSScore</v>
      </c>
      <c r="C548" s="6" t="str">
        <f>'02-variable-info'!M548</f>
        <v>int</v>
      </c>
      <c r="D548" s="6" t="str">
        <f>'02-variable-info'!H548</f>
        <v>number</v>
      </c>
    </row>
    <row r="549">
      <c r="A549" s="6" t="str">
        <f>'02-variable-info'!A549</f>
        <v>03-04_1-total-modified-sarnat.csv</v>
      </c>
      <c r="B549" s="6" t="str">
        <f>'02-variable-info'!B549</f>
        <v>post_TotalModifiedSarnatScore</v>
      </c>
      <c r="C549" s="6" t="str">
        <f>'02-variable-info'!M549</f>
        <v>int</v>
      </c>
      <c r="D549" s="6" t="str">
        <f>'02-variable-info'!H549</f>
        <v>number</v>
      </c>
    </row>
    <row r="550">
      <c r="A550" s="6" t="str">
        <f>'02-variable-info'!A550</f>
        <v>03-05-mri.csv</v>
      </c>
      <c r="B550" s="6" t="str">
        <f>'02-variable-info'!B550</f>
        <v>siteID</v>
      </c>
      <c r="C550" s="6" t="str">
        <f>'02-variable-info'!M550</f>
        <v>text</v>
      </c>
      <c r="D550" s="6" t="str">
        <f>'02-variable-info'!H550</f>
        <v>text</v>
      </c>
    </row>
    <row r="551">
      <c r="A551" s="6" t="str">
        <f>'02-variable-info'!A551</f>
        <v>03-05-mri.csv</v>
      </c>
      <c r="B551" s="6" t="str">
        <f>'02-variable-info'!B551</f>
        <v>MRIIncrement</v>
      </c>
      <c r="C551" s="6" t="str">
        <f>'02-variable-info'!M551</f>
        <v>int</v>
      </c>
      <c r="D551" s="6" t="str">
        <f>'02-variable-info'!H551</f>
        <v>number</v>
      </c>
    </row>
    <row r="552">
      <c r="A552" s="6" t="str">
        <f>'02-variable-info'!A552</f>
        <v>03-05-mri.csv</v>
      </c>
      <c r="B552" s="6" t="str">
        <f>'02-variable-info'!B552</f>
        <v>MRIID</v>
      </c>
      <c r="C552" s="6" t="str">
        <f>'02-variable-info'!M552</f>
        <v>text</v>
      </c>
      <c r="D552" s="6" t="str">
        <f>'02-variable-info'!H552</f>
        <v>text</v>
      </c>
    </row>
    <row r="553">
      <c r="A553" s="6" t="str">
        <f>'02-variable-info'!A553</f>
        <v>03-05-mri.csv</v>
      </c>
      <c r="B553" s="6" t="str">
        <f>'02-variable-info'!B553</f>
        <v>MRIStrength_T</v>
      </c>
      <c r="C553" s="6" t="str">
        <f>'02-variable-info'!M553</f>
        <v>float</v>
      </c>
      <c r="D553" s="6" t="str">
        <f>'02-variable-info'!H553</f>
        <v>number</v>
      </c>
    </row>
    <row r="554">
      <c r="A554" s="6" t="str">
        <f>'02-variable-info'!A554</f>
        <v>03-05-mri.csv</v>
      </c>
      <c r="B554" s="6" t="str">
        <f>'02-variable-info'!B554</f>
        <v>MRIAdequateQuality</v>
      </c>
      <c r="C554" s="6" t="str">
        <f>'02-variable-info'!M554</f>
        <v>bool</v>
      </c>
      <c r="D554" s="6" t="str">
        <f>'02-variable-info'!H554</f>
        <v>boolean</v>
      </c>
    </row>
    <row r="555">
      <c r="A555" s="6" t="str">
        <f>'02-variable-info'!A555</f>
        <v>03-05-mri.csv</v>
      </c>
      <c r="B555" s="6" t="str">
        <f>'02-variable-info'!B555</f>
        <v>MRIT1Axial</v>
      </c>
      <c r="C555" s="6" t="str">
        <f>'02-variable-info'!M555</f>
        <v>bool</v>
      </c>
      <c r="D555" s="6" t="str">
        <f>'02-variable-info'!H555</f>
        <v>boolean</v>
      </c>
    </row>
    <row r="556">
      <c r="A556" s="6" t="str">
        <f>'02-variable-info'!A556</f>
        <v>03-05-mri.csv</v>
      </c>
      <c r="B556" s="6" t="str">
        <f>'02-variable-info'!B556</f>
        <v>MRIT1Coronal</v>
      </c>
      <c r="C556" s="6" t="str">
        <f>'02-variable-info'!M556</f>
        <v>bool</v>
      </c>
      <c r="D556" s="6" t="str">
        <f>'02-variable-info'!H556</f>
        <v>boolean</v>
      </c>
    </row>
    <row r="557">
      <c r="A557" s="6" t="str">
        <f>'02-variable-info'!A557</f>
        <v>03-05-mri.csv</v>
      </c>
      <c r="B557" s="6" t="str">
        <f>'02-variable-info'!B557</f>
        <v>MRIT1Sagittal</v>
      </c>
      <c r="C557" s="6" t="str">
        <f>'02-variable-info'!M557</f>
        <v>bool</v>
      </c>
      <c r="D557" s="6" t="str">
        <f>'02-variable-info'!H557</f>
        <v>boolean</v>
      </c>
    </row>
    <row r="558">
      <c r="A558" s="6" t="str">
        <f>'02-variable-info'!A558</f>
        <v>03-05-mri.csv</v>
      </c>
      <c r="B558" s="6" t="str">
        <f>'02-variable-info'!B558</f>
        <v>MRIT1</v>
      </c>
      <c r="C558" s="6" t="str">
        <f>'02-variable-info'!M558</f>
        <v>bool</v>
      </c>
      <c r="D558" s="6" t="str">
        <f>'02-variable-info'!H558</f>
        <v>boolean</v>
      </c>
    </row>
    <row r="559">
      <c r="A559" s="6" t="str">
        <f>'02-variable-info'!A559</f>
        <v>03-05-mri.csv</v>
      </c>
      <c r="B559" s="6" t="str">
        <f>'02-variable-info'!B559</f>
        <v>MRIT2Axial</v>
      </c>
      <c r="C559" s="6" t="str">
        <f>'02-variable-info'!M559</f>
        <v>bool</v>
      </c>
      <c r="D559" s="6" t="str">
        <f>'02-variable-info'!H559</f>
        <v>boolean</v>
      </c>
    </row>
    <row r="560">
      <c r="A560" s="6" t="str">
        <f>'02-variable-info'!A560</f>
        <v>03-05-mri.csv</v>
      </c>
      <c r="B560" s="6" t="str">
        <f>'02-variable-info'!B560</f>
        <v>MRIT2Coronal</v>
      </c>
      <c r="C560" s="6" t="str">
        <f>'02-variable-info'!M560</f>
        <v>bool</v>
      </c>
      <c r="D560" s="6" t="str">
        <f>'02-variable-info'!H560</f>
        <v>boolean</v>
      </c>
    </row>
    <row r="561">
      <c r="A561" s="6" t="str">
        <f>'02-variable-info'!A561</f>
        <v>03-05-mri.csv</v>
      </c>
      <c r="B561" s="6" t="str">
        <f>'02-variable-info'!B561</f>
        <v>MRIT2Sagittal</v>
      </c>
      <c r="C561" s="6" t="str">
        <f>'02-variable-info'!M561</f>
        <v>bool</v>
      </c>
      <c r="D561" s="6" t="str">
        <f>'02-variable-info'!H561</f>
        <v>boolean</v>
      </c>
    </row>
    <row r="562">
      <c r="A562" s="6" t="str">
        <f>'02-variable-info'!A562</f>
        <v>03-05-mri.csv</v>
      </c>
      <c r="B562" s="6" t="str">
        <f>'02-variable-info'!B562</f>
        <v>MRIT2</v>
      </c>
      <c r="C562" s="6" t="str">
        <f>'02-variable-info'!M562</f>
        <v>bool</v>
      </c>
      <c r="D562" s="6" t="str">
        <f>'02-variable-info'!H562</f>
        <v>boolean</v>
      </c>
    </row>
    <row r="563">
      <c r="A563" s="6" t="str">
        <f>'02-variable-info'!A563</f>
        <v>03-05-mri.csv</v>
      </c>
      <c r="B563" s="6" t="str">
        <f>'02-variable-info'!B563</f>
        <v>MRIT2FLAIRAxial</v>
      </c>
      <c r="C563" s="6" t="str">
        <f>'02-variable-info'!M563</f>
        <v>bool</v>
      </c>
      <c r="D563" s="6" t="str">
        <f>'02-variable-info'!H563</f>
        <v>boolean</v>
      </c>
    </row>
    <row r="564">
      <c r="A564" s="6" t="str">
        <f>'02-variable-info'!A564</f>
        <v>03-05-mri.csv</v>
      </c>
      <c r="B564" s="6" t="str">
        <f>'02-variable-info'!B564</f>
        <v>MRIT2FLAIRCoronal</v>
      </c>
      <c r="C564" s="6" t="str">
        <f>'02-variable-info'!M564</f>
        <v>bool</v>
      </c>
      <c r="D564" s="6" t="str">
        <f>'02-variable-info'!H564</f>
        <v>boolean</v>
      </c>
    </row>
    <row r="565">
      <c r="A565" s="6" t="str">
        <f>'02-variable-info'!A565</f>
        <v>03-05-mri.csv</v>
      </c>
      <c r="B565" s="6" t="str">
        <f>'02-variable-info'!B565</f>
        <v>MRIT2FLAIRSagittal</v>
      </c>
      <c r="C565" s="6" t="str">
        <f>'02-variable-info'!M565</f>
        <v>bool</v>
      </c>
      <c r="D565" s="6" t="str">
        <f>'02-variable-info'!H565</f>
        <v>boolean</v>
      </c>
    </row>
    <row r="566">
      <c r="A566" s="6" t="str">
        <f>'02-variable-info'!A566</f>
        <v>03-05-mri.csv</v>
      </c>
      <c r="B566" s="6" t="str">
        <f>'02-variable-info'!B566</f>
        <v>MRIT2FLAIR</v>
      </c>
      <c r="C566" s="6" t="str">
        <f>'02-variable-info'!M566</f>
        <v>bool</v>
      </c>
      <c r="D566" s="6" t="str">
        <f>'02-variable-info'!H566</f>
        <v>boolean</v>
      </c>
    </row>
    <row r="567">
      <c r="A567" s="6" t="str">
        <f>'02-variable-info'!A567</f>
        <v>03-05-mri.csv</v>
      </c>
      <c r="B567" s="6" t="str">
        <f>'02-variable-info'!B567</f>
        <v>MRIGRESWIAxial</v>
      </c>
      <c r="C567" s="6" t="str">
        <f>'02-variable-info'!M567</f>
        <v>bool</v>
      </c>
      <c r="D567" s="6" t="str">
        <f>'02-variable-info'!H567</f>
        <v>boolean</v>
      </c>
    </row>
    <row r="568">
      <c r="A568" s="6" t="str">
        <f>'02-variable-info'!A568</f>
        <v>03-05-mri.csv</v>
      </c>
      <c r="B568" s="6" t="str">
        <f>'02-variable-info'!B568</f>
        <v>MRIGRESWICoronal</v>
      </c>
      <c r="C568" s="6" t="str">
        <f>'02-variable-info'!M568</f>
        <v>bool</v>
      </c>
      <c r="D568" s="6" t="str">
        <f>'02-variable-info'!H568</f>
        <v>boolean</v>
      </c>
    </row>
    <row r="569">
      <c r="A569" s="6" t="str">
        <f>'02-variable-info'!A569</f>
        <v>03-05-mri.csv</v>
      </c>
      <c r="B569" s="6" t="str">
        <f>'02-variable-info'!B569</f>
        <v>MRIGRESWISagittal</v>
      </c>
      <c r="C569" s="6" t="str">
        <f>'02-variable-info'!M569</f>
        <v>bool</v>
      </c>
      <c r="D569" s="6" t="str">
        <f>'02-variable-info'!H569</f>
        <v>boolean</v>
      </c>
    </row>
    <row r="570">
      <c r="A570" s="6" t="str">
        <f>'02-variable-info'!A570</f>
        <v>03-05-mri.csv</v>
      </c>
      <c r="B570" s="6" t="str">
        <f>'02-variable-info'!B570</f>
        <v>MRIGRESWI</v>
      </c>
      <c r="C570" s="6" t="str">
        <f>'02-variable-info'!M570</f>
        <v>bool</v>
      </c>
      <c r="D570" s="6" t="str">
        <f>'02-variable-info'!H570</f>
        <v>boolean</v>
      </c>
    </row>
    <row r="571">
      <c r="A571" s="6" t="str">
        <f>'02-variable-info'!A571</f>
        <v>03-05-mri.csv</v>
      </c>
      <c r="B571" s="6" t="str">
        <f>'02-variable-info'!B571</f>
        <v>MRISPGRAxial</v>
      </c>
      <c r="C571" s="6" t="str">
        <f>'02-variable-info'!M571</f>
        <v>bool</v>
      </c>
      <c r="D571" s="6" t="str">
        <f>'02-variable-info'!H571</f>
        <v>boolean</v>
      </c>
    </row>
    <row r="572">
      <c r="A572" s="6" t="str">
        <f>'02-variable-info'!A572</f>
        <v>03-05-mri.csv</v>
      </c>
      <c r="B572" s="6" t="str">
        <f>'02-variable-info'!B572</f>
        <v>MRISPGRCoronal</v>
      </c>
      <c r="C572" s="6" t="str">
        <f>'02-variable-info'!M572</f>
        <v>bool</v>
      </c>
      <c r="D572" s="6" t="str">
        <f>'02-variable-info'!H572</f>
        <v>boolean</v>
      </c>
    </row>
    <row r="573">
      <c r="A573" s="6" t="str">
        <f>'02-variable-info'!A573</f>
        <v>03-05-mri.csv</v>
      </c>
      <c r="B573" s="6" t="str">
        <f>'02-variable-info'!B573</f>
        <v>MRISPGRSagittal</v>
      </c>
      <c r="C573" s="6" t="str">
        <f>'02-variable-info'!M573</f>
        <v>bool</v>
      </c>
      <c r="D573" s="6" t="str">
        <f>'02-variable-info'!H573</f>
        <v>boolean</v>
      </c>
    </row>
    <row r="574">
      <c r="A574" s="6" t="str">
        <f>'02-variable-info'!A574</f>
        <v>03-05-mri.csv</v>
      </c>
      <c r="B574" s="6" t="str">
        <f>'02-variable-info'!B574</f>
        <v>MRISPGR</v>
      </c>
      <c r="C574" s="6" t="str">
        <f>'02-variable-info'!M574</f>
        <v>bool</v>
      </c>
      <c r="D574" s="6" t="str">
        <f>'02-variable-info'!H574</f>
        <v>boolean</v>
      </c>
    </row>
    <row r="575">
      <c r="A575" s="6" t="str">
        <f>'02-variable-info'!A575</f>
        <v>03-05-mri.csv</v>
      </c>
      <c r="B575" s="6" t="str">
        <f>'02-variable-info'!B575</f>
        <v>MRIDWI</v>
      </c>
      <c r="C575" s="6" t="str">
        <f>'02-variable-info'!M575</f>
        <v>bool</v>
      </c>
      <c r="D575" s="6" t="str">
        <f>'02-variable-info'!H575</f>
        <v>boolean</v>
      </c>
    </row>
    <row r="576">
      <c r="A576" s="6" t="str">
        <f>'02-variable-info'!A576</f>
        <v>03-05-mri.csv</v>
      </c>
      <c r="B576" s="6" t="str">
        <f>'02-variable-info'!B576</f>
        <v>MRIADC</v>
      </c>
      <c r="C576" s="6" t="str">
        <f>'02-variable-info'!M576</f>
        <v>bool</v>
      </c>
      <c r="D576" s="6" t="str">
        <f>'02-variable-info'!H576</f>
        <v>boolean</v>
      </c>
    </row>
    <row r="577">
      <c r="A577" s="6" t="str">
        <f>'02-variable-info'!A577</f>
        <v>03-05-mri.csv</v>
      </c>
      <c r="B577" s="6" t="str">
        <f>'02-variable-info'!B577</f>
        <v>MRIMRS</v>
      </c>
      <c r="C577" s="6" t="str">
        <f>'02-variable-info'!M577</f>
        <v>bool</v>
      </c>
      <c r="D577" s="6" t="str">
        <f>'02-variable-info'!H577</f>
        <v>boolean</v>
      </c>
    </row>
    <row r="578">
      <c r="A578" s="6" t="str">
        <f>'02-variable-info'!A578</f>
        <v>03-05-mri.csv</v>
      </c>
      <c r="B578" s="6" t="str">
        <f>'02-variable-info'!B578</f>
        <v>MRIOther</v>
      </c>
      <c r="C578" s="6" t="str">
        <f>'02-variable-info'!M578</f>
        <v>bool</v>
      </c>
      <c r="D578" s="6" t="str">
        <f>'02-variable-info'!H578</f>
        <v>boolean</v>
      </c>
    </row>
    <row r="579">
      <c r="A579" s="6" t="str">
        <f>'02-variable-info'!A579</f>
        <v>03-05-mri.csv</v>
      </c>
      <c r="B579" s="6" t="str">
        <f>'02-variable-info'!B579</f>
        <v>MRIOtherText</v>
      </c>
      <c r="C579" s="6" t="str">
        <f>'02-variable-info'!M579</f>
        <v>text</v>
      </c>
      <c r="D579" s="6" t="str">
        <f>'02-variable-info'!H579</f>
        <v>text</v>
      </c>
    </row>
    <row r="580">
      <c r="A580" s="6" t="str">
        <f>'02-variable-info'!A580</f>
        <v>03-05-mri.csv</v>
      </c>
      <c r="B580" s="6" t="str">
        <f>'02-variable-info'!B580</f>
        <v>MRIOverallDiagnosis</v>
      </c>
      <c r="C580" s="6" t="str">
        <f>'02-variable-info'!M580</f>
        <v>MRIOverallDiagnosis</v>
      </c>
      <c r="D580" s="6" t="str">
        <f>'02-variable-info'!H580</f>
        <v>ordinal</v>
      </c>
    </row>
    <row r="581">
      <c r="A581" s="6" t="str">
        <f>'02-variable-info'!A581</f>
        <v>03-05-mri.csv</v>
      </c>
      <c r="B581" s="6" t="str">
        <f>'02-variable-info'!B581</f>
        <v>MRIOverallDiagnosisText</v>
      </c>
      <c r="C581" s="6" t="str">
        <f>'02-variable-info'!M581</f>
        <v>text</v>
      </c>
      <c r="D581" s="6" t="str">
        <f>'02-variable-info'!H581</f>
        <v>text</v>
      </c>
    </row>
    <row r="582">
      <c r="A582" s="6" t="str">
        <f>'02-variable-info'!A582</f>
        <v>03-05-mri.csv</v>
      </c>
      <c r="B582" s="6" t="str">
        <f>'02-variable-info'!B582</f>
        <v>MRIAbnormal</v>
      </c>
      <c r="C582" s="6" t="str">
        <f>'02-variable-info'!M582</f>
        <v>bool</v>
      </c>
      <c r="D582" s="6" t="str">
        <f>'02-variable-info'!H582</f>
        <v>boolean</v>
      </c>
    </row>
    <row r="583">
      <c r="A583" s="6" t="str">
        <f>'02-variable-info'!A583</f>
        <v>03-05-mri.csv</v>
      </c>
      <c r="B583" s="6" t="str">
        <f>'02-variable-info'!B583</f>
        <v>MRICerebralAtrophy</v>
      </c>
      <c r="C583" s="6" t="str">
        <f>'02-variable-info'!M583</f>
        <v>bool</v>
      </c>
      <c r="D583" s="6" t="str">
        <f>'02-variable-info'!H583</f>
        <v>boolean</v>
      </c>
    </row>
    <row r="584">
      <c r="A584" s="6" t="str">
        <f>'02-variable-info'!A584</f>
        <v>03-05-mri.csv</v>
      </c>
      <c r="B584" s="6" t="str">
        <f>'02-variable-info'!B584</f>
        <v>MRICerebralAtrophyGlobalLocal</v>
      </c>
      <c r="C584" s="6" t="str">
        <f>'02-variable-info'!M584</f>
        <v>MRICerebralAtrophyGlobalLocal</v>
      </c>
      <c r="D584" s="6" t="str">
        <f>'02-variable-info'!H584</f>
        <v>nomial</v>
      </c>
    </row>
    <row r="585">
      <c r="A585" s="6" t="str">
        <f>'02-variable-info'!A585</f>
        <v>03-05-mri.csv</v>
      </c>
      <c r="B585" s="6" t="str">
        <f>'02-variable-info'!B585</f>
        <v>MRICerebralAtrophyRegion</v>
      </c>
      <c r="C585" s="6" t="str">
        <f>'02-variable-info'!M585</f>
        <v>MRICerebralAtrophyRegion</v>
      </c>
      <c r="D585" s="6" t="str">
        <f>'02-variable-info'!H585</f>
        <v>nomial</v>
      </c>
    </row>
    <row r="586">
      <c r="A586" s="6" t="str">
        <f>'02-variable-info'!A586</f>
        <v>03-05-mri.csv</v>
      </c>
      <c r="B586" s="6" t="str">
        <f>'02-variable-info'!B586</f>
        <v>MRICerebralAtrophyQualAssessCC</v>
      </c>
      <c r="C586" s="6" t="str">
        <f>'02-variable-info'!M586</f>
        <v>MRISeverity</v>
      </c>
      <c r="D586" s="6" t="str">
        <f>'02-variable-info'!H586</f>
        <v>ordinal</v>
      </c>
    </row>
    <row r="587">
      <c r="A587" s="6" t="str">
        <f>'02-variable-info'!A587</f>
        <v>03-05-mri.csv</v>
      </c>
      <c r="B587" s="6" t="str">
        <f>'02-variable-info'!B587</f>
        <v>MRICerebralAtrophyQualAssessVDLeft</v>
      </c>
      <c r="C587" s="6" t="str">
        <f>'02-variable-info'!M587</f>
        <v>MRISeverity</v>
      </c>
      <c r="D587" s="6" t="str">
        <f>'02-variable-info'!H587</f>
        <v>ordinal</v>
      </c>
    </row>
    <row r="588">
      <c r="A588" s="6" t="str">
        <f>'02-variable-info'!A588</f>
        <v>03-05-mri.csv</v>
      </c>
      <c r="B588" s="6" t="str">
        <f>'02-variable-info'!B588</f>
        <v>MRICerebralAtrophyQualAssessVDRight</v>
      </c>
      <c r="C588" s="6" t="str">
        <f>'02-variable-info'!M588</f>
        <v>MRISeverity</v>
      </c>
      <c r="D588" s="6" t="str">
        <f>'02-variable-info'!H588</f>
        <v>ordinal</v>
      </c>
    </row>
    <row r="589">
      <c r="A589" s="6" t="str">
        <f>'02-variable-info'!A589</f>
        <v>03-05-mri.csv</v>
      </c>
      <c r="B589" s="6" t="str">
        <f>'02-variable-info'!B589</f>
        <v>MRIInfarction</v>
      </c>
      <c r="C589" s="6" t="str">
        <f>'02-variable-info'!M589</f>
        <v>bool</v>
      </c>
      <c r="D589" s="6" t="str">
        <f>'02-variable-info'!H589</f>
        <v>boolean</v>
      </c>
    </row>
    <row r="590">
      <c r="A590" s="6" t="str">
        <f>'02-variable-info'!A590</f>
        <v>03-05-mri.csv</v>
      </c>
      <c r="B590" s="6" t="str">
        <f>'02-variable-info'!B590</f>
        <v>MRIInfarctionArterialTerritoryLeft</v>
      </c>
      <c r="C590" s="6" t="str">
        <f>'02-variable-info'!M590</f>
        <v>bool</v>
      </c>
      <c r="D590" s="6" t="str">
        <f>'02-variable-info'!H590</f>
        <v>boolean</v>
      </c>
    </row>
    <row r="591">
      <c r="A591" s="6" t="str">
        <f>'02-variable-info'!A591</f>
        <v>03-05-mri.csv</v>
      </c>
      <c r="B591" s="6" t="str">
        <f>'02-variable-info'!B591</f>
        <v>MRIInfarctionArterialTerritoryRight</v>
      </c>
      <c r="C591" s="6" t="str">
        <f>'02-variable-info'!M591</f>
        <v>bool</v>
      </c>
      <c r="D591" s="6" t="str">
        <f>'02-variable-info'!H591</f>
        <v>boolean</v>
      </c>
    </row>
    <row r="592">
      <c r="A592" s="6" t="str">
        <f>'02-variable-info'!A592</f>
        <v>03-05-mri.csv</v>
      </c>
      <c r="B592" s="6" t="str">
        <f>'02-variable-info'!B592</f>
        <v>MRIInfarctionWatershedLeft</v>
      </c>
      <c r="C592" s="6" t="str">
        <f>'02-variable-info'!M592</f>
        <v>bool</v>
      </c>
      <c r="D592" s="6" t="str">
        <f>'02-variable-info'!H592</f>
        <v>boolean</v>
      </c>
    </row>
    <row r="593">
      <c r="A593" s="6" t="str">
        <f>'02-variable-info'!A593</f>
        <v>03-05-mri.csv</v>
      </c>
      <c r="B593" s="6" t="str">
        <f>'02-variable-info'!B593</f>
        <v>MRIInfarctionWatershedRight</v>
      </c>
      <c r="C593" s="6" t="str">
        <f>'02-variable-info'!M593</f>
        <v>bool</v>
      </c>
      <c r="D593" s="6" t="str">
        <f>'02-variable-info'!H593</f>
        <v>boolean</v>
      </c>
    </row>
    <row r="594">
      <c r="A594" s="6" t="str">
        <f>'02-variable-info'!A594</f>
        <v>03-05-mri.csv</v>
      </c>
      <c r="B594" s="6" t="str">
        <f>'02-variable-info'!B594</f>
        <v>MRIMidlineShift</v>
      </c>
      <c r="C594" s="6" t="str">
        <f>'02-variable-info'!M594</f>
        <v>bool</v>
      </c>
      <c r="D594" s="6" t="str">
        <f>'02-variable-info'!H594</f>
        <v>boolean</v>
      </c>
    </row>
    <row r="595">
      <c r="A595" s="6" t="str">
        <f>'02-variable-info'!A595</f>
        <v>03-05-mri.csv</v>
      </c>
      <c r="B595" s="6" t="str">
        <f>'02-variable-info'!B595</f>
        <v>MRIBGT</v>
      </c>
      <c r="C595" s="6" t="str">
        <f>'02-variable-info'!M595</f>
        <v>MRISeverity</v>
      </c>
      <c r="D595" s="6" t="str">
        <f>'02-variable-info'!H595</f>
        <v>ordinal</v>
      </c>
    </row>
    <row r="596">
      <c r="A596" s="6" t="str">
        <f>'02-variable-info'!A596</f>
        <v>03-05-mri.csv</v>
      </c>
      <c r="B596" s="6" t="str">
        <f>'02-variable-info'!B596</f>
        <v>MRIPLIC</v>
      </c>
      <c r="C596" s="6" t="str">
        <f>'02-variable-info'!M596</f>
        <v>MRIALICPLICSeverity</v>
      </c>
      <c r="D596" s="6" t="str">
        <f>'02-variable-info'!H596</f>
        <v>ordinal</v>
      </c>
    </row>
    <row r="597">
      <c r="A597" s="6" t="str">
        <f>'02-variable-info'!A597</f>
        <v>03-05-mri.csv</v>
      </c>
      <c r="B597" s="6" t="str">
        <f>'02-variable-info'!B597</f>
        <v>MRIALIC</v>
      </c>
      <c r="C597" s="6" t="str">
        <f>'02-variable-info'!M597</f>
        <v>MRIALICPLICSeverity</v>
      </c>
      <c r="D597" s="6" t="str">
        <f>'02-variable-info'!H597</f>
        <v>ordinal</v>
      </c>
    </row>
    <row r="598">
      <c r="A598" s="6" t="str">
        <f>'02-variable-info'!A598</f>
        <v>03-05-mri.csv</v>
      </c>
      <c r="B598" s="6" t="str">
        <f>'02-variable-info'!B598</f>
        <v>MRIWatershed</v>
      </c>
      <c r="C598" s="6" t="str">
        <f>'02-variable-info'!M598</f>
        <v>MRISeverity</v>
      </c>
      <c r="D598" s="6" t="str">
        <f>'02-variable-info'!H598</f>
        <v>ordinal</v>
      </c>
    </row>
    <row r="599">
      <c r="A599" s="6" t="str">
        <f>'02-variable-info'!A599</f>
        <v>03-05-mri.csv</v>
      </c>
      <c r="B599" s="6" t="str">
        <f>'02-variable-info'!B599</f>
        <v>MRIWhiteMatterInjury</v>
      </c>
      <c r="C599" s="6" t="str">
        <f>'02-variable-info'!M599</f>
        <v>MRIInjurySeverity</v>
      </c>
      <c r="D599" s="6" t="str">
        <f>'02-variable-info'!H599</f>
        <v>ordinal</v>
      </c>
    </row>
    <row r="600">
      <c r="A600" s="6" t="str">
        <f>'02-variable-info'!A600</f>
        <v>03-05-mri.csv</v>
      </c>
      <c r="B600" s="6" t="str">
        <f>'02-variable-info'!B600</f>
        <v>MRIFocalCorticalInjury</v>
      </c>
      <c r="C600" s="6" t="str">
        <f>'02-variable-info'!M600</f>
        <v>MRIInjurySeverity</v>
      </c>
      <c r="D600" s="6" t="str">
        <f>'02-variable-info'!H600</f>
        <v>ordinal</v>
      </c>
    </row>
    <row r="601">
      <c r="A601" s="6" t="str">
        <f>'02-variable-info'!A601</f>
        <v>03-05-mri.csv</v>
      </c>
      <c r="B601" s="6" t="str">
        <f>'02-variable-info'!B601</f>
        <v>MRINRNPatternOfInjuryExtent</v>
      </c>
      <c r="C601" s="6" t="str">
        <f>'02-variable-info'!M601</f>
        <v>MRINRNPatternOfInjuryExtent</v>
      </c>
      <c r="D601" s="6" t="str">
        <f>'02-variable-info'!H601</f>
        <v>ordinal</v>
      </c>
    </row>
    <row r="602">
      <c r="A602" s="6" t="str">
        <f>'02-variable-info'!A602</f>
        <v>03-05-mri.csv</v>
      </c>
      <c r="B602" s="6" t="str">
        <f>'02-variable-info'!B602</f>
        <v>MRINRNPatternOfInjuryLateral</v>
      </c>
      <c r="C602" s="6" t="str">
        <f>'02-variable-info'!M602</f>
        <v>MRINRNPatternOfInjuryLateral</v>
      </c>
      <c r="D602" s="6" t="str">
        <f>'02-variable-info'!H602</f>
        <v>nomial</v>
      </c>
    </row>
    <row r="603">
      <c r="A603" s="6" t="str">
        <f>'02-variable-info'!A603</f>
        <v>03-05-mri.csv</v>
      </c>
      <c r="B603" s="6" t="str">
        <f>'02-variable-info'!B603</f>
        <v>MRIComment</v>
      </c>
      <c r="C603" s="6" t="str">
        <f>'02-variable-info'!M603</f>
        <v>text</v>
      </c>
      <c r="D603" s="6" t="str">
        <f>'02-variable-info'!H603</f>
        <v>text</v>
      </c>
    </row>
    <row r="604">
      <c r="A604" s="6" t="str">
        <f>'02-variable-info'!A604</f>
        <v>03-05-mri.csv</v>
      </c>
      <c r="B604" s="6" t="str">
        <f>'02-variable-info'!B604</f>
        <v>MRINRNPatternOfInjury</v>
      </c>
      <c r="C604" s="6" t="str">
        <f>'02-variable-info'!M604</f>
        <v>MRINRNPatternOfInjury</v>
      </c>
      <c r="D604" s="6" t="str">
        <f>'02-variable-info'!H604</f>
        <v>ordinal</v>
      </c>
    </row>
    <row r="605">
      <c r="A605" s="6" t="str">
        <f>'02-variable-info'!A605</f>
        <v>03-05_s-mri.csv</v>
      </c>
      <c r="B605" s="6" t="str">
        <f>'02-variable-info'!B605</f>
        <v>MRIAvailable</v>
      </c>
      <c r="C605" s="6" t="str">
        <f>'02-variable-info'!M605</f>
        <v>bool</v>
      </c>
      <c r="D605" s="6" t="str">
        <f>'02-variable-info'!H605</f>
        <v>boolean</v>
      </c>
    </row>
    <row r="606">
      <c r="A606" s="6" t="str">
        <f>'02-variable-info'!A606</f>
        <v>03-05_s-mri.csv</v>
      </c>
      <c r="B606" s="6" t="str">
        <f>'02-variable-info'!B606</f>
        <v>MRIObtain</v>
      </c>
      <c r="C606" s="6" t="str">
        <f>'02-variable-info'!M606</f>
        <v>bool</v>
      </c>
      <c r="D606" s="6" t="str">
        <f>'02-variable-info'!H606</f>
        <v>boolean</v>
      </c>
    </row>
    <row r="607">
      <c r="A607" s="6" t="str">
        <f>'02-variable-info'!A607</f>
        <v>03-05_s-mri.csv</v>
      </c>
      <c r="B607" s="6" t="str">
        <f>'02-variable-info'!B607</f>
        <v>MRIObtainWindow</v>
      </c>
      <c r="C607" s="6" t="str">
        <f>'02-variable-info'!M607</f>
        <v>MRIObtainWindow</v>
      </c>
      <c r="D607" s="6" t="str">
        <f>'02-variable-info'!H607</f>
        <v>nomial</v>
      </c>
    </row>
    <row r="608">
      <c r="A608" s="6" t="str">
        <f>'02-variable-info'!A608</f>
        <v>03-05_s-mri.csv</v>
      </c>
      <c r="B608" s="6" t="str">
        <f>'02-variable-info'!B608</f>
        <v>MRIObtainComment</v>
      </c>
      <c r="C608" s="6" t="str">
        <f>'02-variable-info'!M608</f>
        <v>text</v>
      </c>
      <c r="D608" s="6" t="str">
        <f>'02-variable-info'!H608</f>
        <v>text</v>
      </c>
    </row>
    <row r="609">
      <c r="A609" s="6" t="str">
        <f>'02-variable-info'!A609</f>
        <v>03-05_s-mri.csv</v>
      </c>
      <c r="B609" s="6" t="str">
        <f>'02-variable-info'!B609</f>
        <v>MRINoObtainReason</v>
      </c>
      <c r="C609" s="6" t="str">
        <f>'02-variable-info'!M609</f>
        <v>MRINoObtainReason</v>
      </c>
      <c r="D609" s="6" t="str">
        <f>'02-variable-info'!H609</f>
        <v>nomial</v>
      </c>
    </row>
    <row r="610">
      <c r="A610" s="6" t="str">
        <f>'02-variable-info'!A610</f>
        <v>03-05_s-mri.csv</v>
      </c>
      <c r="B610" s="6" t="str">
        <f>'02-variable-info'!B610</f>
        <v>MRINoObtainReasonText</v>
      </c>
      <c r="C610" s="6" t="str">
        <f>'02-variable-info'!M610</f>
        <v>text</v>
      </c>
      <c r="D610" s="6" t="str">
        <f>'02-variable-info'!H610</f>
        <v>text</v>
      </c>
    </row>
    <row r="611">
      <c r="A611" s="6" t="str">
        <f>'02-variable-info'!A611</f>
        <v>03-05_s-mri.csv</v>
      </c>
      <c r="B611" s="6" t="str">
        <f>'02-variable-info'!B611</f>
        <v>MRIRead</v>
      </c>
      <c r="C611" s="6" t="str">
        <f>'02-variable-info'!M611</f>
        <v>bool</v>
      </c>
      <c r="D611" s="6" t="str">
        <f>'02-variable-info'!H611</f>
        <v>boolean</v>
      </c>
    </row>
    <row r="612">
      <c r="A612" s="6" t="str">
        <f>'02-variable-info'!A612</f>
        <v>03-05_s-mri.csv</v>
      </c>
      <c r="B612" s="6" t="str">
        <f>'02-variable-info'!B612</f>
        <v>MRIScore</v>
      </c>
      <c r="C612" s="6" t="str">
        <f>'02-variable-info'!M612</f>
        <v>MRINRNPatternOfInjury</v>
      </c>
      <c r="D612" s="6" t="str">
        <f>'02-variable-info'!H612</f>
        <v>ordinal</v>
      </c>
    </row>
    <row r="613">
      <c r="A613" s="6" t="str">
        <f>'02-variable-info'!A613</f>
        <v>03-05_s-mri.csv</v>
      </c>
      <c r="B613" s="6" t="str">
        <f>'02-variable-info'!B613</f>
        <v>MRI2LevelPatternOfInjury</v>
      </c>
      <c r="C613" s="6" t="str">
        <f>'02-variable-info'!M613</f>
        <v>MRI2LevelPatternOfInjury</v>
      </c>
      <c r="D613" s="6" t="str">
        <f>'02-variable-info'!H613</f>
        <v>ordinal</v>
      </c>
    </row>
    <row r="614">
      <c r="A614" s="6" t="str">
        <f>'02-variable-info'!A614</f>
        <v>03-05_s-mri.csv</v>
      </c>
      <c r="B614" s="6" t="str">
        <f>'02-variable-info'!B614</f>
        <v>MRIAge_day</v>
      </c>
      <c r="C614" s="6" t="str">
        <f>'02-variable-info'!M614</f>
        <v>int</v>
      </c>
      <c r="D614" s="6" t="str">
        <f>'02-variable-info'!H614</f>
        <v>number</v>
      </c>
    </row>
    <row r="615">
      <c r="A615" s="6" t="str">
        <f>'02-variable-info'!A615</f>
        <v>03-05_s-mri.csv</v>
      </c>
      <c r="B615" s="6" t="str">
        <f>'02-variable-info'!B615</f>
        <v>MRIOverallDiagnosisMerge</v>
      </c>
      <c r="C615" s="6" t="str">
        <f>'02-variable-info'!M615</f>
        <v>MRIOverallDiagnosis</v>
      </c>
      <c r="D615" s="6" t="str">
        <f>'02-variable-info'!H615</f>
        <v>ordinal</v>
      </c>
    </row>
    <row r="616">
      <c r="A616" s="6" t="str">
        <f>'02-variable-info'!A616</f>
        <v>03-05_s-mri.csv</v>
      </c>
      <c r="B616" s="6" t="str">
        <f>'02-variable-info'!B616</f>
        <v>MRINRNPatternOfInjury</v>
      </c>
      <c r="C616" s="6" t="str">
        <f>'02-variable-info'!M616</f>
        <v>MRINRNPatternOfInjury</v>
      </c>
      <c r="D616" s="6" t="str">
        <f>'02-variable-info'!H616</f>
        <v>ordinal</v>
      </c>
    </row>
    <row r="617">
      <c r="A617" s="6" t="str">
        <f>'02-variable-info'!A617</f>
        <v>03-05_s-mri.csv</v>
      </c>
      <c r="B617" s="6" t="str">
        <f>'02-variable-info'!B617</f>
        <v>MRINotDone</v>
      </c>
      <c r="C617" s="6" t="str">
        <f>'02-variable-info'!M617</f>
        <v>bool</v>
      </c>
      <c r="D617" s="6" t="str">
        <f>'02-variable-info'!H617</f>
        <v>boolean</v>
      </c>
    </row>
    <row r="618">
      <c r="A618" s="6" t="str">
        <f>'02-variable-info'!A618</f>
        <v>03-05_s-mri.csv</v>
      </c>
      <c r="B618" s="6" t="str">
        <f>'02-variable-info'!B618</f>
        <v>MRIUnread</v>
      </c>
      <c r="C618" s="6" t="str">
        <f>'02-variable-info'!M618</f>
        <v>bool</v>
      </c>
      <c r="D618" s="6" t="str">
        <f>'02-variable-info'!H618</f>
        <v>boolean</v>
      </c>
    </row>
    <row r="619">
      <c r="A619" s="6" t="str">
        <f>'02-variable-info'!A619</f>
        <v>03-05_s-mri.csv</v>
      </c>
      <c r="B619" s="6" t="str">
        <f>'02-variable-info'!B619</f>
        <v>MRIAnalysis</v>
      </c>
      <c r="C619" s="6" t="str">
        <f>'02-variable-info'!M619</f>
        <v>bool</v>
      </c>
      <c r="D619" s="6" t="str">
        <f>'02-variable-info'!H619</f>
        <v>boolean</v>
      </c>
    </row>
    <row r="620">
      <c r="A620" s="6" t="str">
        <f>'02-variable-info'!A620</f>
        <v>03-05_s-mri.csv</v>
      </c>
      <c r="B620" s="6" t="str">
        <f>'02-variable-info'!B620</f>
        <v>MRIAbnormalResult</v>
      </c>
      <c r="C620" s="6" t="str">
        <f>'02-variable-info'!M620</f>
        <v>bool</v>
      </c>
      <c r="D620" s="6" t="str">
        <f>'02-variable-info'!H620</f>
        <v>boolean</v>
      </c>
    </row>
    <row r="621">
      <c r="A621" s="6" t="str">
        <f>'02-variable-info'!A621</f>
        <v>03-05_s-mri.csv</v>
      </c>
      <c r="B621" s="6" t="str">
        <f>'02-variable-info'!B621</f>
        <v>MRINRNPatternOfInjuryWSvsBGTPLIC</v>
      </c>
      <c r="C621" s="6" t="str">
        <f>'02-variable-info'!M621</f>
        <v>MRINRNPatternOfInjuryWSvsBGT</v>
      </c>
      <c r="D621" s="6" t="str">
        <f>'02-variable-info'!H621</f>
        <v>ordinal</v>
      </c>
    </row>
    <row r="622">
      <c r="A622" s="6" t="str">
        <f>'02-variable-info'!A622</f>
        <v>03-05_s-mri.csv</v>
      </c>
      <c r="B622" s="6" t="str">
        <f>'02-variable-info'!B622</f>
        <v>MRICerebralLesion</v>
      </c>
      <c r="C622" s="6" t="str">
        <f>'02-variable-info'!M622</f>
        <v>bool</v>
      </c>
      <c r="D622" s="6" t="str">
        <f>'02-variable-info'!H622</f>
        <v>boolean</v>
      </c>
    </row>
    <row r="623">
      <c r="A623" s="6" t="str">
        <f>'02-variable-info'!A623</f>
        <v>03-05_s-mri.csv</v>
      </c>
      <c r="B623" s="6" t="str">
        <f>'02-variable-info'!B623</f>
        <v>MRICerebellarLesion</v>
      </c>
      <c r="C623" s="6" t="str">
        <f>'02-variable-info'!M623</f>
        <v>MRILesion</v>
      </c>
      <c r="D623" s="6" t="str">
        <f>'02-variable-info'!H623</f>
        <v>ordinal</v>
      </c>
    </row>
    <row r="624">
      <c r="A624" s="6" t="str">
        <f>'02-variable-info'!A624</f>
        <v>03-05_s-mri.csv</v>
      </c>
      <c r="B624" s="6" t="str">
        <f>'02-variable-info'!B624</f>
        <v>MRIBasalGangliaLesion</v>
      </c>
      <c r="C624" s="6" t="str">
        <f>'02-variable-info'!M624</f>
        <v>MRILesion</v>
      </c>
      <c r="D624" s="6" t="str">
        <f>'02-variable-info'!H624</f>
        <v>ordinal</v>
      </c>
    </row>
    <row r="625">
      <c r="A625" s="6" t="str">
        <f>'02-variable-info'!A625</f>
        <v>03-05_s-mri.csv</v>
      </c>
      <c r="B625" s="6" t="str">
        <f>'02-variable-info'!B625</f>
        <v>MRIBrainstemLesion</v>
      </c>
      <c r="C625" s="6" t="str">
        <f>'02-variable-info'!M625</f>
        <v>MRILesion</v>
      </c>
      <c r="D625" s="6" t="str">
        <f>'02-variable-info'!H625</f>
        <v>ordinal</v>
      </c>
    </row>
    <row r="626">
      <c r="A626" s="6" t="str">
        <f>'02-variable-info'!A626</f>
        <v>03-05_s-mri.csv</v>
      </c>
      <c r="B626" s="6" t="str">
        <f>'02-variable-info'!B626</f>
        <v>MRICorpusCallosumLesion</v>
      </c>
      <c r="C626" s="6" t="str">
        <f>'02-variable-info'!M626</f>
        <v>MRILesion</v>
      </c>
      <c r="D626" s="6" t="str">
        <f>'02-variable-info'!H626</f>
        <v>ordinal</v>
      </c>
    </row>
    <row r="627">
      <c r="A627" s="6" t="str">
        <f>'02-variable-info'!A627</f>
        <v>03-05_s-mri.csv</v>
      </c>
      <c r="B627" s="6" t="str">
        <f>'02-variable-info'!B627</f>
        <v>MRICerebralLesionLobe</v>
      </c>
      <c r="C627" s="6" t="str">
        <f>'02-variable-info'!M627</f>
        <v>MRILesion</v>
      </c>
      <c r="D627" s="6" t="str">
        <f>'02-variable-info'!H627</f>
        <v>ordinal</v>
      </c>
    </row>
    <row r="628">
      <c r="A628" s="6" t="str">
        <f>'02-variable-info'!A628</f>
        <v>03-05_s-mri.csv</v>
      </c>
      <c r="B628" s="6" t="str">
        <f>'02-variable-info'!B628</f>
        <v>MRICoronaRadiataLesion</v>
      </c>
      <c r="C628" s="6" t="str">
        <f>'02-variable-info'!M628</f>
        <v>MRILesion</v>
      </c>
      <c r="D628" s="6" t="str">
        <f>'02-variable-info'!H628</f>
        <v>ordinal</v>
      </c>
    </row>
    <row r="629">
      <c r="A629" s="6" t="str">
        <f>'02-variable-info'!A629</f>
        <v>03-05_s-mri.csv</v>
      </c>
      <c r="B629" s="6" t="str">
        <f>'02-variable-info'!B629</f>
        <v>MRIEdema</v>
      </c>
      <c r="C629" s="6" t="str">
        <f>'02-variable-info'!M629</f>
        <v>MRILesion</v>
      </c>
      <c r="D629" s="6" t="str">
        <f>'02-variable-info'!H629</f>
        <v>ordinal</v>
      </c>
    </row>
    <row r="630">
      <c r="A630" s="6" t="str">
        <f>'02-variable-info'!A630</f>
        <v>03-05_s-mri.csv</v>
      </c>
      <c r="B630" s="6" t="str">
        <f>'02-variable-info'!B630</f>
        <v>MRIExtraAxialLesion</v>
      </c>
      <c r="C630" s="6" t="str">
        <f>'02-variable-info'!M630</f>
        <v>MRILesion</v>
      </c>
      <c r="D630" s="6" t="str">
        <f>'02-variable-info'!H630</f>
        <v>ordinal</v>
      </c>
    </row>
    <row r="631">
      <c r="A631" s="6" t="str">
        <f>'02-variable-info'!A631</f>
        <v>03-05_s-mri.csv</v>
      </c>
      <c r="B631" s="6" t="str">
        <f>'02-variable-info'!B631</f>
        <v>MRIExtent</v>
      </c>
      <c r="C631" s="6" t="str">
        <f>'02-variable-info'!M631</f>
        <v>MRIAbnormalExtent</v>
      </c>
      <c r="D631" s="6" t="str">
        <f>'02-variable-info'!H631</f>
        <v>ordinal</v>
      </c>
    </row>
    <row r="632">
      <c r="A632" s="6" t="str">
        <f>'02-variable-info'!A632</f>
        <v>03-05_s-mri.csv</v>
      </c>
      <c r="B632" s="6" t="str">
        <f>'02-variable-info'!B632</f>
        <v>MRIFrontalParietalLesion</v>
      </c>
      <c r="C632" s="6" t="str">
        <f>'02-variable-info'!M632</f>
        <v>MRILesion</v>
      </c>
      <c r="D632" s="6" t="str">
        <f>'02-variable-info'!H632</f>
        <v>ordinal</v>
      </c>
    </row>
    <row r="633">
      <c r="A633" s="6" t="str">
        <f>'02-variable-info'!A633</f>
        <v>03-05_s-mri.csv</v>
      </c>
      <c r="B633" s="6" t="str">
        <f>'02-variable-info'!B633</f>
        <v>MRIFrontalLesion</v>
      </c>
      <c r="C633" s="6" t="str">
        <f>'02-variable-info'!M633</f>
        <v>MRILesion</v>
      </c>
      <c r="D633" s="6" t="str">
        <f>'02-variable-info'!H633</f>
        <v>ordinal</v>
      </c>
    </row>
    <row r="634">
      <c r="A634" s="6" t="str">
        <f>'02-variable-info'!A634</f>
        <v>03-05_s-mri.csv</v>
      </c>
      <c r="B634" s="6" t="str">
        <f>'02-variable-info'!B634</f>
        <v>MRILateralHemisphericDevastation</v>
      </c>
      <c r="C634" s="6" t="str">
        <f>'02-variable-info'!M634</f>
        <v>MRIAbnormalSide</v>
      </c>
      <c r="D634" s="6" t="str">
        <f>'02-variable-info'!H634</f>
        <v>nomial</v>
      </c>
    </row>
    <row r="635">
      <c r="A635" s="6" t="str">
        <f>'02-variable-info'!A635</f>
        <v>03-05_s-mri.csv</v>
      </c>
      <c r="B635" s="6" t="str">
        <f>'02-variable-info'!B635</f>
        <v>MRIHippocampusLesion</v>
      </c>
      <c r="C635" s="6" t="str">
        <f>'02-variable-info'!M635</f>
        <v>MRILesion</v>
      </c>
      <c r="D635" s="6" t="str">
        <f>'02-variable-info'!H635</f>
        <v>ordinal</v>
      </c>
    </row>
    <row r="636">
      <c r="A636" s="6" t="str">
        <f>'02-variable-info'!A636</f>
        <v>03-05_s-mri.csv</v>
      </c>
      <c r="B636" s="6" t="str">
        <f>'02-variable-info'!B636</f>
        <v>MRIHypothalamusLesion</v>
      </c>
      <c r="C636" s="6" t="str">
        <f>'02-variable-info'!M636</f>
        <v>MRILesion</v>
      </c>
      <c r="D636" s="6" t="str">
        <f>'02-variable-info'!H636</f>
        <v>ordinal</v>
      </c>
    </row>
    <row r="637">
      <c r="A637" s="6" t="str">
        <f>'02-variable-info'!A637</f>
        <v>03-05_s-mri.csv</v>
      </c>
      <c r="B637" s="6" t="str">
        <f>'02-variable-info'!B637</f>
        <v>MRIInsularLesion</v>
      </c>
      <c r="C637" s="6" t="str">
        <f>'02-variable-info'!M637</f>
        <v>MRILesion</v>
      </c>
      <c r="D637" s="6" t="str">
        <f>'02-variable-info'!H637</f>
        <v>ordinal</v>
      </c>
    </row>
    <row r="638">
      <c r="A638" s="6" t="str">
        <f>'02-variable-info'!A638</f>
        <v>03-05_s-mri.csv</v>
      </c>
      <c r="B638" s="6" t="str">
        <f>'02-variable-info'!B638</f>
        <v>MRILateralityMerge</v>
      </c>
      <c r="C638" s="6" t="str">
        <f>'02-variable-info'!M638</f>
        <v>MRIAbnormalSide</v>
      </c>
      <c r="D638" s="6" t="str">
        <f>'02-variable-info'!H638</f>
        <v>nomial</v>
      </c>
    </row>
    <row r="639">
      <c r="A639" s="6" t="str">
        <f>'02-variable-info'!A639</f>
        <v>03-05_s-mri.csv</v>
      </c>
      <c r="B639" s="6" t="str">
        <f>'02-variable-info'!B639</f>
        <v>MRIBGTMerge</v>
      </c>
      <c r="C639" s="6" t="str">
        <f>'02-variable-info'!M639</f>
        <v>MRISeverity</v>
      </c>
      <c r="D639" s="6" t="str">
        <f>'02-variable-info'!H639</f>
        <v>ordinal</v>
      </c>
    </row>
    <row r="640">
      <c r="A640" s="6" t="str">
        <f>'02-variable-info'!A640</f>
        <v>03-05_s-mri.csv</v>
      </c>
      <c r="B640" s="6" t="str">
        <f>'02-variable-info'!B640</f>
        <v>MRIPLICMerge</v>
      </c>
      <c r="C640" s="6" t="str">
        <f>'02-variable-info'!M640</f>
        <v>MRIALICPLICSeverity</v>
      </c>
      <c r="D640" s="6" t="str">
        <f>'02-variable-info'!H640</f>
        <v>ordinal</v>
      </c>
    </row>
    <row r="641">
      <c r="A641" s="6" t="str">
        <f>'02-variable-info'!A641</f>
        <v>03-05_s-mri.csv</v>
      </c>
      <c r="B641" s="6" t="str">
        <f>'02-variable-info'!B641</f>
        <v>MRIWatershedMerge</v>
      </c>
      <c r="C641" s="6" t="str">
        <f>'02-variable-info'!M641</f>
        <v>MRISeverity</v>
      </c>
      <c r="D641" s="6" t="str">
        <f>'02-variable-info'!H641</f>
        <v>ordinal</v>
      </c>
    </row>
    <row r="642">
      <c r="A642" s="6" t="str">
        <f>'02-variable-info'!A642</f>
        <v>03-05_s-mri.csv</v>
      </c>
      <c r="B642" s="6" t="str">
        <f>'02-variable-info'!B642</f>
        <v>MRIWhiteMatterInjuryMerge</v>
      </c>
      <c r="C642" s="6" t="str">
        <f>'02-variable-info'!M642</f>
        <v>MRIInjurySeverity</v>
      </c>
      <c r="D642" s="6" t="str">
        <f>'02-variable-info'!H642</f>
        <v>ordinal</v>
      </c>
    </row>
    <row r="643">
      <c r="A643" s="6" t="str">
        <f>'02-variable-info'!A643</f>
        <v>03-05_s-mri.csv</v>
      </c>
      <c r="B643" s="6" t="str">
        <f>'02-variable-info'!B643</f>
        <v>MRIDate</v>
      </c>
      <c r="C643" s="6" t="str">
        <f>'02-variable-info'!M643</f>
        <v>date</v>
      </c>
      <c r="D643" s="6" t="str">
        <f>'02-variable-info'!H643</f>
        <v>date</v>
      </c>
    </row>
    <row r="644">
      <c r="A644" s="6" t="str">
        <f>'02-variable-info'!A644</f>
        <v>03-05_s-mri.csv</v>
      </c>
      <c r="B644" s="6" t="str">
        <f>'02-variable-info'!B644</f>
        <v>MRIOccipitalLesion</v>
      </c>
      <c r="C644" s="6" t="str">
        <f>'02-variable-info'!M644</f>
        <v>MRILesion</v>
      </c>
      <c r="D644" s="6" t="str">
        <f>'02-variable-info'!H644</f>
        <v>ordinal</v>
      </c>
    </row>
    <row r="645">
      <c r="A645" s="6" t="str">
        <f>'02-variable-info'!A645</f>
        <v>03-05_s-mri.csv</v>
      </c>
      <c r="B645" s="6" t="str">
        <f>'02-variable-info'!B645</f>
        <v>MRITime</v>
      </c>
      <c r="C645" s="6" t="str">
        <f>'02-variable-info'!M645</f>
        <v>time</v>
      </c>
      <c r="D645" s="6" t="str">
        <f>'02-variable-info'!H645</f>
        <v>time</v>
      </c>
    </row>
    <row r="646">
      <c r="A646" s="6" t="str">
        <f>'02-variable-info'!A646</f>
        <v>03-05_s-mri.csv</v>
      </c>
      <c r="B646" s="6" t="str">
        <f>'02-variable-info'!B646</f>
        <v>MRIOpticChiasmLesion</v>
      </c>
      <c r="C646" s="6" t="str">
        <f>'02-variable-info'!M646</f>
        <v>MRILesion</v>
      </c>
      <c r="D646" s="6" t="str">
        <f>'02-variable-info'!H646</f>
        <v>ordinal</v>
      </c>
    </row>
    <row r="647">
      <c r="A647" s="6" t="str">
        <f>'02-variable-info'!A647</f>
        <v>03-05_s-mri.csv</v>
      </c>
      <c r="B647" s="6" t="str">
        <f>'02-variable-info'!B647</f>
        <v>MRIOtherLesion</v>
      </c>
      <c r="C647" s="6" t="str">
        <f>'02-variable-info'!M647</f>
        <v>MRILesion</v>
      </c>
      <c r="D647" s="6" t="str">
        <f>'02-variable-info'!H647</f>
        <v>ordinal</v>
      </c>
    </row>
    <row r="648">
      <c r="A648" s="6" t="str">
        <f>'02-variable-info'!A648</f>
        <v>03-05_s-mri.csv</v>
      </c>
      <c r="B648" s="6" t="str">
        <f>'02-variable-info'!B648</f>
        <v>MRIOtherCerebralLesion</v>
      </c>
      <c r="C648" s="6" t="str">
        <f>'02-variable-info'!M648</f>
        <v>MRILesion</v>
      </c>
      <c r="D648" s="6" t="str">
        <f>'02-variable-info'!H648</f>
        <v>ordinal</v>
      </c>
    </row>
    <row r="649">
      <c r="A649" s="6" t="str">
        <f>'02-variable-info'!A649</f>
        <v>03-05_s-mri.csv</v>
      </c>
      <c r="B649" s="6" t="str">
        <f>'02-variable-info'!B649</f>
        <v>MRIParasagittalLesion</v>
      </c>
      <c r="C649" s="6" t="str">
        <f>'02-variable-info'!M649</f>
        <v>MRILesion</v>
      </c>
      <c r="D649" s="6" t="str">
        <f>'02-variable-info'!H649</f>
        <v>ordinal</v>
      </c>
    </row>
    <row r="650">
      <c r="A650" s="6" t="str">
        <f>'02-variable-info'!A650</f>
        <v>03-05_s-mri.csv</v>
      </c>
      <c r="B650" s="6" t="str">
        <f>'02-variable-info'!B650</f>
        <v>MRIParietalLesion</v>
      </c>
      <c r="C650" s="6" t="str">
        <f>'02-variable-info'!M650</f>
        <v>MRILesion</v>
      </c>
      <c r="D650" s="6" t="str">
        <f>'02-variable-info'!H650</f>
        <v>ordinal</v>
      </c>
    </row>
    <row r="651">
      <c r="A651" s="6" t="str">
        <f>'02-variable-info'!A651</f>
        <v>03-05_s-mri.csv</v>
      </c>
      <c r="B651" s="6" t="str">
        <f>'02-variable-info'!B651</f>
        <v>MRIPreirolandicLesion</v>
      </c>
      <c r="C651" s="6" t="str">
        <f>'02-variable-info'!M651</f>
        <v>MRILesion</v>
      </c>
      <c r="D651" s="6" t="str">
        <f>'02-variable-info'!H651</f>
        <v>ordinal</v>
      </c>
    </row>
    <row r="652">
      <c r="A652" s="6" t="str">
        <f>'02-variable-info'!A652</f>
        <v>03-05_s-mri.csv</v>
      </c>
      <c r="B652" s="6" t="str">
        <f>'02-variable-info'!B652</f>
        <v>MRIPerisylvianLesion</v>
      </c>
      <c r="C652" s="6" t="str">
        <f>'02-variable-info'!M652</f>
        <v>MRILesion</v>
      </c>
      <c r="D652" s="6" t="str">
        <f>'02-variable-info'!H652</f>
        <v>ordinal</v>
      </c>
    </row>
    <row r="653">
      <c r="A653" s="6" t="str">
        <f>'02-variable-info'!A653</f>
        <v>03-05_s-mri.csv</v>
      </c>
      <c r="B653" s="6" t="str">
        <f>'02-variable-info'!B653</f>
        <v>MRIPituitaryLesion</v>
      </c>
      <c r="C653" s="6" t="str">
        <f>'02-variable-info'!M653</f>
        <v>MRILesion</v>
      </c>
      <c r="D653" s="6" t="str">
        <f>'02-variable-info'!H653</f>
        <v>ordinal</v>
      </c>
    </row>
    <row r="654">
      <c r="A654" s="6" t="str">
        <f>'02-variable-info'!A654</f>
        <v>03-05_s-mri.csv</v>
      </c>
      <c r="B654" s="6" t="str">
        <f>'02-variable-info'!B654</f>
        <v>MRIParietalOccipitalLesion</v>
      </c>
      <c r="C654" s="6" t="str">
        <f>'02-variable-info'!M654</f>
        <v>MRILesion</v>
      </c>
      <c r="D654" s="6" t="str">
        <f>'02-variable-info'!H654</f>
        <v>ordinal</v>
      </c>
    </row>
    <row r="655">
      <c r="A655" s="6" t="str">
        <f>'02-variable-info'!A655</f>
        <v>03-05_s-mri.csv</v>
      </c>
      <c r="B655" s="6" t="str">
        <f>'02-variable-info'!B655</f>
        <v>MRIParietalTemporalLesion</v>
      </c>
      <c r="C655" s="6" t="str">
        <f>'02-variable-info'!M655</f>
        <v>MRILesion</v>
      </c>
      <c r="D655" s="6" t="str">
        <f>'02-variable-info'!H655</f>
        <v>ordinal</v>
      </c>
    </row>
    <row r="656">
      <c r="A656" s="6" t="str">
        <f>'02-variable-info'!A656</f>
        <v>03-05_s-mri.csv</v>
      </c>
      <c r="B656" s="6" t="str">
        <f>'02-variable-info'!B656</f>
        <v>MRIScalpLesion</v>
      </c>
      <c r="C656" s="6" t="str">
        <f>'02-variable-info'!M656</f>
        <v>MRILesion</v>
      </c>
      <c r="D656" s="6" t="str">
        <f>'02-variable-info'!H656</f>
        <v>ordinal</v>
      </c>
    </row>
    <row r="657">
      <c r="A657" s="6" t="str">
        <f>'02-variable-info'!A657</f>
        <v>03-05_s-mri.csv</v>
      </c>
      <c r="B657" s="6" t="str">
        <f>'02-variable-info'!B657</f>
        <v>MRIThalamusLesion</v>
      </c>
      <c r="C657" s="6" t="str">
        <f>'02-variable-info'!M657</f>
        <v>MRILesion</v>
      </c>
      <c r="D657" s="6" t="str">
        <f>'02-variable-info'!H657</f>
        <v>ordinal</v>
      </c>
    </row>
    <row r="658">
      <c r="A658" s="6" t="str">
        <f>'02-variable-info'!A658</f>
        <v>03-05_s-mri.csv</v>
      </c>
      <c r="B658" s="6" t="str">
        <f>'02-variable-info'!B658</f>
        <v>MRITemporalLesion</v>
      </c>
      <c r="C658" s="6" t="str">
        <f>'02-variable-info'!M658</f>
        <v>MRILesion</v>
      </c>
      <c r="D658" s="6" t="str">
        <f>'02-variable-info'!H658</f>
        <v>ordinal</v>
      </c>
    </row>
    <row r="659">
      <c r="A659" s="6" t="str">
        <f>'02-variable-info'!A659</f>
        <v>03-05_s-mri.csv</v>
      </c>
      <c r="B659" s="6" t="str">
        <f>'02-variable-info'!B659</f>
        <v>MRITemporalOccipitalLesion</v>
      </c>
      <c r="C659" s="6" t="str">
        <f>'02-variable-info'!M659</f>
        <v>MRILesion</v>
      </c>
      <c r="D659" s="6" t="str">
        <f>'02-variable-info'!H659</f>
        <v>ordinal</v>
      </c>
    </row>
    <row r="660">
      <c r="A660" s="6" t="str">
        <f>'02-variable-info'!A660</f>
        <v>03-05_s-mri.csv</v>
      </c>
      <c r="B660" s="6" t="str">
        <f>'02-variable-info'!B660</f>
        <v>MRICerebralAtrophyMerge</v>
      </c>
      <c r="C660" s="6" t="str">
        <f>'02-variable-info'!M660</f>
        <v>bool</v>
      </c>
      <c r="D660" s="6" t="str">
        <f>'02-variable-info'!H660</f>
        <v>boolean</v>
      </c>
    </row>
    <row r="661">
      <c r="A661" s="6" t="str">
        <f>'02-variable-info'!A661</f>
        <v>03-05_s-mri.csv</v>
      </c>
      <c r="B661" s="6" t="str">
        <f>'02-variable-info'!B661</f>
        <v>MRICerebralAtrophyQualAssessCCMerge</v>
      </c>
      <c r="C661" s="6" t="str">
        <f>'02-variable-info'!M661</f>
        <v>MRISeverity</v>
      </c>
      <c r="D661" s="6" t="str">
        <f>'02-variable-info'!H661</f>
        <v>ordinal</v>
      </c>
    </row>
    <row r="662">
      <c r="A662" s="6" t="str">
        <f>'02-variable-info'!A662</f>
        <v>03-05_s-mri.csv</v>
      </c>
      <c r="B662" s="6" t="str">
        <f>'02-variable-info'!B662</f>
        <v>MRICerebralAtrophyGlobalLocalMerge</v>
      </c>
      <c r="C662" s="6" t="str">
        <f>'02-variable-info'!M662</f>
        <v>MRICerebralAtrophyGlobalLocal</v>
      </c>
      <c r="D662" s="6" t="str">
        <f>'02-variable-info'!H662</f>
        <v>nomial</v>
      </c>
    </row>
    <row r="663">
      <c r="A663" s="6" t="str">
        <f>'02-variable-info'!A663</f>
        <v>03-05_s-mri.csv</v>
      </c>
      <c r="B663" s="6" t="str">
        <f>'02-variable-info'!B663</f>
        <v>MRIVascularTerritoryInfarctionMerge</v>
      </c>
      <c r="C663" s="6" t="str">
        <f>'02-variable-info'!M663</f>
        <v>bool</v>
      </c>
      <c r="D663" s="6" t="str">
        <f>'02-variable-info'!H663</f>
        <v>boolean</v>
      </c>
    </row>
    <row r="664">
      <c r="A664" s="6" t="str">
        <f>'02-variable-info'!A664</f>
        <v>03-05_s-mri.csv</v>
      </c>
      <c r="B664" s="6" t="str">
        <f>'02-variable-info'!B664</f>
        <v>MRIVascularTerritoryInfarctionLeftMerge</v>
      </c>
      <c r="C664" s="6" t="str">
        <f>'02-variable-info'!M664</f>
        <v>bool</v>
      </c>
      <c r="D664" s="6" t="str">
        <f>'02-variable-info'!H664</f>
        <v>boolean</v>
      </c>
    </row>
    <row r="665">
      <c r="A665" s="6" t="str">
        <f>'02-variable-info'!A665</f>
        <v>03-05_s-mri.csv</v>
      </c>
      <c r="B665" s="6" t="str">
        <f>'02-variable-info'!B665</f>
        <v>MRIVascularTerritoryInfarctionRightMerge</v>
      </c>
      <c r="C665" s="6" t="str">
        <f>'02-variable-info'!M665</f>
        <v>bool</v>
      </c>
      <c r="D665" s="6" t="str">
        <f>'02-variable-info'!H665</f>
        <v>boolean</v>
      </c>
    </row>
    <row r="666">
      <c r="A666" s="6" t="str">
        <f>'02-variable-info'!A666</f>
        <v>03-05_s-mri.csv</v>
      </c>
      <c r="B666" s="6" t="str">
        <f>'02-variable-info'!B666</f>
        <v>MRIHemisphericDevastation</v>
      </c>
      <c r="C666" s="6" t="str">
        <f>'02-variable-info'!M666</f>
        <v>bool</v>
      </c>
      <c r="D666" s="6" t="str">
        <f>'02-variable-info'!H666</f>
        <v>boolean</v>
      </c>
    </row>
    <row r="667">
      <c r="A667" s="6" t="str">
        <f>'02-variable-info'!A667</f>
        <v>03-05_s-mri.csv</v>
      </c>
      <c r="B667" s="6" t="str">
        <f>'02-variable-info'!B667</f>
        <v>MRIVentricularDilatation</v>
      </c>
      <c r="C667" s="6" t="str">
        <f>'02-variable-info'!M667</f>
        <v>MRISeverity</v>
      </c>
      <c r="D667" s="6" t="str">
        <f>'02-variable-info'!H667</f>
        <v>ordinal</v>
      </c>
    </row>
    <row r="668">
      <c r="A668" s="6" t="str">
        <f>'02-variable-info'!A668</f>
        <v>03-05_s-mri.csv</v>
      </c>
      <c r="B668" s="6" t="str">
        <f>'02-variable-info'!B668</f>
        <v>MRIVascularLesion</v>
      </c>
      <c r="C668" s="6" t="str">
        <f>'02-variable-info'!M668</f>
        <v>MRILesion</v>
      </c>
      <c r="D668" s="6" t="str">
        <f>'02-variable-info'!H668</f>
        <v>ordinal</v>
      </c>
    </row>
    <row r="669">
      <c r="A669" s="6" t="str">
        <f>'02-variable-info'!A669</f>
        <v>03-05_s-mri.csv</v>
      </c>
      <c r="B669" s="6" t="str">
        <f>'02-variable-info'!B669</f>
        <v>MRIIntraventricularLesion</v>
      </c>
      <c r="C669" s="6" t="str">
        <f>'02-variable-info'!M669</f>
        <v>MRILesion</v>
      </c>
      <c r="D669" s="6" t="str">
        <f>'02-variable-info'!H669</f>
        <v>ordinal</v>
      </c>
    </row>
    <row r="670">
      <c r="A670" s="6" t="str">
        <f>'02-variable-info'!A670</f>
        <v>03-05_s1-mri.csv</v>
      </c>
      <c r="B670" s="6" t="str">
        <f>'02-variable-info'!B670</f>
        <v>MRINRNPatternOfInjuryAvg</v>
      </c>
      <c r="C670" s="6" t="str">
        <f>'02-variable-info'!M670</f>
        <v>float</v>
      </c>
      <c r="D670" s="6" t="str">
        <f>'02-variable-info'!H670</f>
        <v>number</v>
      </c>
    </row>
    <row r="671">
      <c r="A671" s="6" t="str">
        <f>'02-variable-info'!A671</f>
        <v>03-05_s1-mri.csv</v>
      </c>
      <c r="B671" s="6" t="str">
        <f>'02-variable-info'!B671</f>
        <v>MRINRNPatternOfInjuryMax</v>
      </c>
      <c r="C671" s="6" t="str">
        <f>'02-variable-info'!M671</f>
        <v>float</v>
      </c>
      <c r="D671" s="6" t="str">
        <f>'02-variable-info'!H671</f>
        <v>number</v>
      </c>
    </row>
    <row r="672">
      <c r="A672" s="6" t="str">
        <f>'02-variable-info'!A672</f>
        <v>04-01-status.csv</v>
      </c>
      <c r="B672" s="6" t="str">
        <f>'02-variable-info'!B672</f>
        <v>status</v>
      </c>
      <c r="C672" s="6" t="str">
        <f>'02-variable-info'!M672</f>
        <v>status</v>
      </c>
      <c r="D672" s="6" t="str">
        <f>'02-variable-info'!H672</f>
        <v>nomial</v>
      </c>
    </row>
    <row r="673">
      <c r="A673" s="6" t="str">
        <f>'02-variable-info'!A673</f>
        <v>04-01-status.csv</v>
      </c>
      <c r="B673" s="6" t="str">
        <f>'02-variable-info'!B673</f>
        <v>statusDate</v>
      </c>
      <c r="C673" s="6" t="str">
        <f>'02-variable-info'!M673</f>
        <v>date</v>
      </c>
      <c r="D673" s="6" t="str">
        <f>'02-variable-info'!H673</f>
        <v>date</v>
      </c>
    </row>
    <row r="674">
      <c r="A674" s="6" t="str">
        <f>'02-variable-info'!A674</f>
        <v>04-01-status.csv</v>
      </c>
      <c r="B674" s="6" t="str">
        <f>'02-variable-info'!B674</f>
        <v>dischargeDate</v>
      </c>
      <c r="C674" s="6" t="str">
        <f>'02-variable-info'!M674</f>
        <v>date</v>
      </c>
      <c r="D674" s="6" t="str">
        <f>'02-variable-info'!H674</f>
        <v>date</v>
      </c>
    </row>
    <row r="675">
      <c r="A675" s="6" t="str">
        <f>'02-variable-info'!A675</f>
        <v>04-01-status.csv</v>
      </c>
      <c r="B675" s="6" t="str">
        <f>'02-variable-info'!B675</f>
        <v>dischargeWeight_g</v>
      </c>
      <c r="C675" s="6" t="str">
        <f>'02-variable-info'!M675</f>
        <v>float</v>
      </c>
      <c r="D675" s="6" t="str">
        <f>'02-variable-info'!H675</f>
        <v>number</v>
      </c>
    </row>
    <row r="676">
      <c r="A676" s="6" t="str">
        <f>'02-variable-info'!A676</f>
        <v>04-01-status.csv</v>
      </c>
      <c r="B676" s="6" t="str">
        <f>'02-variable-info'!B676</f>
        <v>dischargeLength_cm</v>
      </c>
      <c r="C676" s="6" t="str">
        <f>'02-variable-info'!M676</f>
        <v>float</v>
      </c>
      <c r="D676" s="6" t="str">
        <f>'02-variable-info'!H676</f>
        <v>number</v>
      </c>
    </row>
    <row r="677">
      <c r="A677" s="6" t="str">
        <f>'02-variable-info'!A677</f>
        <v>04-01-status.csv</v>
      </c>
      <c r="B677" s="6" t="str">
        <f>'02-variable-info'!B677</f>
        <v>dischargeHeadCircumference_cm</v>
      </c>
      <c r="C677" s="6" t="str">
        <f>'02-variable-info'!M677</f>
        <v>float</v>
      </c>
      <c r="D677" s="6" t="str">
        <f>'02-variable-info'!H677</f>
        <v>number</v>
      </c>
    </row>
    <row r="678">
      <c r="A678" s="6" t="str">
        <f>'02-variable-info'!A678</f>
        <v>04-01-status.csv</v>
      </c>
      <c r="B678" s="6" t="str">
        <f>'02-variable-info'!B678</f>
        <v>transferReason</v>
      </c>
      <c r="C678" s="6" t="str">
        <f>'02-variable-info'!M678</f>
        <v>transferReason</v>
      </c>
      <c r="D678" s="6" t="str">
        <f>'02-variable-info'!H678</f>
        <v>nomial</v>
      </c>
    </row>
    <row r="679">
      <c r="A679" s="6" t="str">
        <f>'02-variable-info'!A679</f>
        <v>04-01-status.csv</v>
      </c>
      <c r="B679" s="6" t="str">
        <f>'02-variable-info'!B679</f>
        <v>transferDate</v>
      </c>
      <c r="C679" s="6" t="str">
        <f>'02-variable-info'!M679</f>
        <v>date</v>
      </c>
      <c r="D679" s="6" t="str">
        <f>'02-variable-info'!H679</f>
        <v>date</v>
      </c>
    </row>
    <row r="680">
      <c r="A680" s="6" t="str">
        <f>'02-variable-info'!A680</f>
        <v>04-01-status.csv</v>
      </c>
      <c r="B680" s="6" t="str">
        <f>'02-variable-info'!B680</f>
        <v>transferWeight_g</v>
      </c>
      <c r="C680" s="6" t="str">
        <f>'02-variable-info'!M680</f>
        <v>float</v>
      </c>
      <c r="D680" s="6" t="str">
        <f>'02-variable-info'!H680</f>
        <v>number</v>
      </c>
    </row>
    <row r="681">
      <c r="A681" s="6" t="str">
        <f>'02-variable-info'!A681</f>
        <v>04-01-status.csv</v>
      </c>
      <c r="B681" s="6" t="str">
        <f>'02-variable-info'!B681</f>
        <v>transferLength_cm</v>
      </c>
      <c r="C681" s="6" t="str">
        <f>'02-variable-info'!M681</f>
        <v>float</v>
      </c>
      <c r="D681" s="6" t="str">
        <f>'02-variable-info'!H681</f>
        <v>number</v>
      </c>
    </row>
    <row r="682">
      <c r="A682" s="6" t="str">
        <f>'02-variable-info'!A682</f>
        <v>04-01-status.csv</v>
      </c>
      <c r="B682" s="6" t="str">
        <f>'02-variable-info'!B682</f>
        <v>transferHeadCircumference_cm</v>
      </c>
      <c r="C682" s="6" t="str">
        <f>'02-variable-info'!M682</f>
        <v>float</v>
      </c>
      <c r="D682" s="6" t="str">
        <f>'02-variable-info'!H682</f>
        <v>number</v>
      </c>
    </row>
    <row r="683">
      <c r="A683" s="6" t="str">
        <f>'02-variable-info'!A683</f>
        <v>04-01-status.csv</v>
      </c>
      <c r="B683" s="6" t="str">
        <f>'02-variable-info'!B683</f>
        <v>transferOutcome</v>
      </c>
      <c r="C683" s="6" t="str">
        <f>'02-variable-info'!M683</f>
        <v>transferOutcome</v>
      </c>
      <c r="D683" s="6" t="str">
        <f>'02-variable-info'!H683</f>
        <v>nomial</v>
      </c>
    </row>
    <row r="684">
      <c r="A684" s="6" t="str">
        <f>'02-variable-info'!A684</f>
        <v>04-01-status.csv</v>
      </c>
      <c r="B684" s="6" t="str">
        <f>'02-variable-info'!B684</f>
        <v>deathDate</v>
      </c>
      <c r="C684" s="6" t="str">
        <f>'02-variable-info'!M684</f>
        <v>date</v>
      </c>
      <c r="D684" s="6" t="str">
        <f>'02-variable-info'!H684</f>
        <v>date</v>
      </c>
    </row>
    <row r="685">
      <c r="A685" s="6" t="str">
        <f>'02-variable-info'!A685</f>
        <v>04-01-status.csv</v>
      </c>
      <c r="B685" s="6" t="str">
        <f>'02-variable-info'!B685</f>
        <v>deathTime</v>
      </c>
      <c r="C685" s="6" t="str">
        <f>'02-variable-info'!M685</f>
        <v>time</v>
      </c>
      <c r="D685" s="6" t="str">
        <f>'02-variable-info'!H685</f>
        <v>time</v>
      </c>
    </row>
    <row r="686">
      <c r="A686" s="6" t="str">
        <f>'02-variable-info'!A686</f>
        <v>04-01-status.csv</v>
      </c>
      <c r="B686" s="6" t="str">
        <f>'02-variable-info'!B686</f>
        <v>deathAge_day</v>
      </c>
      <c r="C686" s="6" t="str">
        <f>'02-variable-info'!M686</f>
        <v>int</v>
      </c>
      <c r="D686" s="6" t="str">
        <f>'02-variable-info'!H686</f>
        <v>number</v>
      </c>
    </row>
    <row r="687">
      <c r="A687" s="6" t="str">
        <f>'02-variable-info'!A687</f>
        <v>04-01-status.csv</v>
      </c>
      <c r="B687" s="6" t="str">
        <f>'02-variable-info'!B687</f>
        <v>deathAutopsy</v>
      </c>
      <c r="C687" s="6" t="str">
        <f>'02-variable-info'!M687</f>
        <v>bool</v>
      </c>
      <c r="D687" s="6" t="str">
        <f>'02-variable-info'!H687</f>
        <v>boolean</v>
      </c>
    </row>
    <row r="688">
      <c r="A688" s="6" t="str">
        <f>'02-variable-info'!A688</f>
        <v>04-01-status.csv</v>
      </c>
      <c r="B688" s="6" t="str">
        <f>'02-variable-info'!B688</f>
        <v>deathCause</v>
      </c>
      <c r="C688" s="6" t="str">
        <f>'02-variable-info'!M688</f>
        <v>deathCause</v>
      </c>
      <c r="D688" s="6" t="str">
        <f>'02-variable-info'!H688</f>
        <v>nomial</v>
      </c>
    </row>
    <row r="689">
      <c r="A689" s="6" t="str">
        <f>'02-variable-info'!A689</f>
        <v>04-01-status.csv</v>
      </c>
      <c r="B689" s="6" t="str">
        <f>'02-variable-info'!B689</f>
        <v>deathCauseText</v>
      </c>
      <c r="C689" s="6" t="str">
        <f>'02-variable-info'!M689</f>
        <v>text</v>
      </c>
      <c r="D689" s="6" t="str">
        <f>'02-variable-info'!H689</f>
        <v>text</v>
      </c>
    </row>
    <row r="690">
      <c r="A690" s="6" t="str">
        <f>'02-variable-info'!A690</f>
        <v>04-01-status.csv</v>
      </c>
      <c r="B690" s="6" t="str">
        <f>'02-variable-info'!B690</f>
        <v>deathSrc</v>
      </c>
      <c r="C690" s="6" t="str">
        <f>'02-variable-info'!M690</f>
        <v>deathSrc</v>
      </c>
      <c r="D690" s="6" t="str">
        <f>'02-variable-info'!H690</f>
        <v>nomial</v>
      </c>
    </row>
    <row r="691">
      <c r="A691" s="6" t="str">
        <f>'02-variable-info'!A691</f>
        <v>04-01_1-length-of-stay.csv</v>
      </c>
      <c r="B691" s="6" t="str">
        <f>'02-variable-info'!B691</f>
        <v>lengthOfStay_day</v>
      </c>
      <c r="C691" s="6" t="str">
        <f>'02-variable-info'!M691</f>
        <v>int</v>
      </c>
      <c r="D691" s="6" t="str">
        <f>'02-variable-info'!H691</f>
        <v>number</v>
      </c>
    </row>
    <row r="692">
      <c r="A692" s="6" t="str">
        <f>'02-variable-info'!A692</f>
        <v>04-02-cardiovascular.csv</v>
      </c>
      <c r="B692" s="6" t="str">
        <f>'02-variable-info'!B692</f>
        <v>dischargeCardiomegaly</v>
      </c>
      <c r="C692" s="6" t="str">
        <f>'02-variable-info'!M692</f>
        <v>bool</v>
      </c>
      <c r="D692" s="6" t="str">
        <f>'02-variable-info'!H692</f>
        <v>boolean</v>
      </c>
    </row>
    <row r="693">
      <c r="A693" s="6" t="str">
        <f>'02-variable-info'!A693</f>
        <v>04-02-cardiovascular.csv</v>
      </c>
      <c r="B693" s="6" t="str">
        <f>'02-variable-info'!B693</f>
        <v>dischargeCardiacFailure</v>
      </c>
      <c r="C693" s="6" t="str">
        <f>'02-variable-info'!M693</f>
        <v>bool</v>
      </c>
      <c r="D693" s="6" t="str">
        <f>'02-variable-info'!H693</f>
        <v>boolean</v>
      </c>
    </row>
    <row r="694">
      <c r="A694" s="6" t="str">
        <f>'02-variable-info'!A694</f>
        <v>04-02-cardiovascular.csv</v>
      </c>
      <c r="B694" s="6" t="str">
        <f>'02-variable-info'!B694</f>
        <v>dischargeCardiacDysfunctionByEcho</v>
      </c>
      <c r="C694" s="6" t="str">
        <f>'02-variable-info'!M694</f>
        <v>bool</v>
      </c>
      <c r="D694" s="6" t="str">
        <f>'02-variable-info'!H694</f>
        <v>boolean</v>
      </c>
    </row>
    <row r="695">
      <c r="A695" s="6" t="str">
        <f>'02-variable-info'!A695</f>
        <v>04-02-cardiovascular.csv</v>
      </c>
      <c r="B695" s="6" t="str">
        <f>'02-variable-info'!B695</f>
        <v>dischargeCardiacIschemiaByEKG</v>
      </c>
      <c r="C695" s="6" t="str">
        <f>'02-variable-info'!M695</f>
        <v>bool</v>
      </c>
      <c r="D695" s="6" t="str">
        <f>'02-variable-info'!H695</f>
        <v>boolean</v>
      </c>
    </row>
    <row r="696">
      <c r="A696" s="6" t="str">
        <f>'02-variable-info'!A696</f>
        <v>04-02-cardiovascular.csv</v>
      </c>
      <c r="B696" s="6" t="str">
        <f>'02-variable-info'!B696</f>
        <v>dischargeHypotension</v>
      </c>
      <c r="C696" s="6" t="str">
        <f>'02-variable-info'!M696</f>
        <v>bool</v>
      </c>
      <c r="D696" s="6" t="str">
        <f>'02-variable-info'!H696</f>
        <v>boolean</v>
      </c>
    </row>
    <row r="697">
      <c r="A697" s="6" t="str">
        <f>'02-variable-info'!A697</f>
        <v>04-02-cardiovascular.csv</v>
      </c>
      <c r="B697" s="6" t="str">
        <f>'02-variable-info'!B697</f>
        <v>dischargeArrhythmia</v>
      </c>
      <c r="C697" s="6" t="str">
        <f>'02-variable-info'!M697</f>
        <v>bool</v>
      </c>
      <c r="D697" s="6" t="str">
        <f>'02-variable-info'!H697</f>
        <v>boolean</v>
      </c>
    </row>
    <row r="698">
      <c r="A698" s="6" t="str">
        <f>'02-variable-info'!A698</f>
        <v>04-02-cardiovascular.csv</v>
      </c>
      <c r="B698" s="6" t="str">
        <f>'02-variable-info'!B698</f>
        <v>dischargeInotropicAgent</v>
      </c>
      <c r="C698" s="6" t="str">
        <f>'02-variable-info'!M698</f>
        <v>bool</v>
      </c>
      <c r="D698" s="6" t="str">
        <f>'02-variable-info'!H698</f>
        <v>boolean</v>
      </c>
    </row>
    <row r="699">
      <c r="A699" s="6" t="str">
        <f>'02-variable-info'!A699</f>
        <v>04-03-respiratory.csv</v>
      </c>
      <c r="B699" s="6" t="str">
        <f>'02-variable-info'!B699</f>
        <v>dischargeMeconiumAspirationSyndrome</v>
      </c>
      <c r="C699" s="6" t="str">
        <f>'02-variable-info'!M699</f>
        <v>bool</v>
      </c>
      <c r="D699" s="6" t="str">
        <f>'02-variable-info'!H699</f>
        <v>boolean</v>
      </c>
    </row>
    <row r="700">
      <c r="A700" s="6" t="str">
        <f>'02-variable-info'!A700</f>
        <v>04-03-respiratory.csv</v>
      </c>
      <c r="B700" s="6" t="str">
        <f>'02-variable-info'!B700</f>
        <v>dischargePPHN</v>
      </c>
      <c r="C700" s="6" t="str">
        <f>'02-variable-info'!M700</f>
        <v>bool</v>
      </c>
      <c r="D700" s="6" t="str">
        <f>'02-variable-info'!H700</f>
        <v>boolean</v>
      </c>
    </row>
    <row r="701">
      <c r="A701" s="6" t="str">
        <f>'02-variable-info'!A701</f>
        <v>04-03-respiratory.csv</v>
      </c>
      <c r="B701" s="6" t="str">
        <f>'02-variable-info'!B701</f>
        <v>dischargePulmonaryHemorrhage</v>
      </c>
      <c r="C701" s="6" t="str">
        <f>'02-variable-info'!M701</f>
        <v>bool</v>
      </c>
      <c r="D701" s="6" t="str">
        <f>'02-variable-info'!H701</f>
        <v>boolean</v>
      </c>
    </row>
    <row r="702">
      <c r="A702" s="6" t="str">
        <f>'02-variable-info'!A702</f>
        <v>04-03-respiratory.csv</v>
      </c>
      <c r="B702" s="6" t="str">
        <f>'02-variable-info'!B702</f>
        <v>dischargePenumonia</v>
      </c>
      <c r="C702" s="6" t="str">
        <f>'02-variable-info'!M702</f>
        <v>bool</v>
      </c>
      <c r="D702" s="6" t="str">
        <f>'02-variable-info'!H702</f>
        <v>boolean</v>
      </c>
    </row>
    <row r="703">
      <c r="A703" s="6" t="str">
        <f>'02-variable-info'!A703</f>
        <v>04-03-respiratory.csv</v>
      </c>
      <c r="B703" s="6" t="str">
        <f>'02-variable-info'!B703</f>
        <v>dischargeChronicLungDisease</v>
      </c>
      <c r="C703" s="6" t="str">
        <f>'02-variable-info'!M703</f>
        <v>bool</v>
      </c>
      <c r="D703" s="6" t="str">
        <f>'02-variable-info'!H703</f>
        <v>boolean</v>
      </c>
    </row>
    <row r="704">
      <c r="A704" s="6" t="str">
        <f>'02-variable-info'!A704</f>
        <v>04-03-respiratory.csv</v>
      </c>
      <c r="B704" s="6" t="str">
        <f>'02-variable-info'!B704</f>
        <v>dischargeECMO</v>
      </c>
      <c r="C704" s="6" t="str">
        <f>'02-variable-info'!M704</f>
        <v>bool</v>
      </c>
      <c r="D704" s="6" t="str">
        <f>'02-variable-info'!H704</f>
        <v>boolean</v>
      </c>
    </row>
    <row r="705">
      <c r="A705" s="6" t="str">
        <f>'02-variable-info'!A705</f>
        <v>04-03-respiratory.csv</v>
      </c>
      <c r="B705" s="6" t="str">
        <f>'02-variable-info'!B705</f>
        <v>dischargeINO</v>
      </c>
      <c r="C705" s="6" t="str">
        <f>'02-variable-info'!M705</f>
        <v>bool</v>
      </c>
      <c r="D705" s="6" t="str">
        <f>'02-variable-info'!H705</f>
        <v>boolean</v>
      </c>
    </row>
    <row r="706">
      <c r="A706" s="6" t="str">
        <f>'02-variable-info'!A706</f>
        <v>04-03-respiratory.csv</v>
      </c>
      <c r="B706" s="6" t="str">
        <f>'02-variable-info'!B706</f>
        <v>dischargeVentilator_day</v>
      </c>
      <c r="C706" s="6" t="str">
        <f>'02-variable-info'!M706</f>
        <v>int</v>
      </c>
      <c r="D706" s="6" t="str">
        <f>'02-variable-info'!H706</f>
        <v>number</v>
      </c>
    </row>
    <row r="707">
      <c r="A707" s="6" t="str">
        <f>'02-variable-info'!A707</f>
        <v>04-03-respiratory.csv</v>
      </c>
      <c r="B707" s="6" t="str">
        <f>'02-variable-info'!B707</f>
        <v>dischargeOxygen_day</v>
      </c>
      <c r="C707" s="6" t="str">
        <f>'02-variable-info'!M707</f>
        <v>int</v>
      </c>
      <c r="D707" s="6" t="str">
        <f>'02-variable-info'!H707</f>
        <v>number</v>
      </c>
    </row>
    <row r="708">
      <c r="A708" s="6" t="str">
        <f>'02-variable-info'!A708</f>
        <v>04-03-respiratory.csv</v>
      </c>
      <c r="B708" s="6" t="str">
        <f>'02-variable-info'!B708</f>
        <v>dischargeCPAP_day</v>
      </c>
      <c r="C708" s="6" t="str">
        <f>'02-variable-info'!M708</f>
        <v>int</v>
      </c>
      <c r="D708" s="6" t="str">
        <f>'02-variable-info'!H708</f>
        <v>number</v>
      </c>
    </row>
    <row r="709">
      <c r="A709" s="6" t="str">
        <f>'02-variable-info'!A709</f>
        <v>04-03-respiratory.csv</v>
      </c>
      <c r="B709" s="6" t="str">
        <f>'02-variable-info'!B709</f>
        <v>dischargePulmonaryStartDate1</v>
      </c>
      <c r="C709" s="6" t="str">
        <f>'02-variable-info'!M709</f>
        <v>date</v>
      </c>
      <c r="D709" s="6" t="str">
        <f>'02-variable-info'!H709</f>
        <v>date</v>
      </c>
    </row>
    <row r="710">
      <c r="A710" s="6" t="str">
        <f>'02-variable-info'!A710</f>
        <v>04-03-respiratory.csv</v>
      </c>
      <c r="B710" s="6" t="str">
        <f>'02-variable-info'!B710</f>
        <v>dischargePulmonaryStartTime1</v>
      </c>
      <c r="C710" s="6" t="str">
        <f>'02-variable-info'!M710</f>
        <v>time</v>
      </c>
      <c r="D710" s="6" t="str">
        <f>'02-variable-info'!H710</f>
        <v>time</v>
      </c>
    </row>
    <row r="711">
      <c r="A711" s="6" t="str">
        <f>'02-variable-info'!A711</f>
        <v>04-03-respiratory.csv</v>
      </c>
      <c r="B711" s="6" t="str">
        <f>'02-variable-info'!B711</f>
        <v>dischargePulmonaryEndDate1</v>
      </c>
      <c r="C711" s="6" t="str">
        <f>'02-variable-info'!M711</f>
        <v>date</v>
      </c>
      <c r="D711" s="6" t="str">
        <f>'02-variable-info'!H711</f>
        <v>date</v>
      </c>
    </row>
    <row r="712">
      <c r="A712" s="6" t="str">
        <f>'02-variable-info'!A712</f>
        <v>04-03-respiratory.csv</v>
      </c>
      <c r="B712" s="6" t="str">
        <f>'02-variable-info'!B712</f>
        <v>dischargePulmonaryEndTime1</v>
      </c>
      <c r="C712" s="6" t="str">
        <f>'02-variable-info'!M712</f>
        <v>time</v>
      </c>
      <c r="D712" s="6" t="str">
        <f>'02-variable-info'!H712</f>
        <v>time</v>
      </c>
    </row>
    <row r="713">
      <c r="A713" s="6" t="str">
        <f>'02-variable-info'!A713</f>
        <v>04-04-hematology.csv</v>
      </c>
      <c r="B713" s="6" t="str">
        <f>'02-variable-info'!B713</f>
        <v>dischargeDIC</v>
      </c>
      <c r="C713" s="6" t="str">
        <f>'02-variable-info'!M713</f>
        <v>bool</v>
      </c>
      <c r="D713" s="6" t="str">
        <f>'02-variable-info'!H713</f>
        <v>boolean</v>
      </c>
    </row>
    <row r="714">
      <c r="A714" s="6" t="str">
        <f>'02-variable-info'!A714</f>
        <v>04-05-metabolic.csv</v>
      </c>
      <c r="B714" s="6" t="str">
        <f>'02-variable-info'!B714</f>
        <v>dischargeHypoglycemia</v>
      </c>
      <c r="C714" s="6" t="str">
        <f>'02-variable-info'!M714</f>
        <v>bool</v>
      </c>
      <c r="D714" s="6" t="str">
        <f>'02-variable-info'!H714</f>
        <v>boolean</v>
      </c>
    </row>
    <row r="715">
      <c r="A715" s="6" t="str">
        <f>'02-variable-info'!A715</f>
        <v>04-05-metabolic.csv</v>
      </c>
      <c r="B715" s="6" t="str">
        <f>'02-variable-info'!B715</f>
        <v>dischargeHypocalcemia</v>
      </c>
      <c r="C715" s="6" t="str">
        <f>'02-variable-info'!M715</f>
        <v>bool</v>
      </c>
      <c r="D715" s="6" t="str">
        <f>'02-variable-info'!H715</f>
        <v>boolean</v>
      </c>
    </row>
    <row r="716">
      <c r="A716" s="6" t="str">
        <f>'02-variable-info'!A716</f>
        <v>04-05-metabolic.csv</v>
      </c>
      <c r="B716" s="6" t="str">
        <f>'02-variable-info'!B716</f>
        <v>dischargeHypomagnesemia</v>
      </c>
      <c r="C716" s="6" t="str">
        <f>'02-variable-info'!M716</f>
        <v>bool</v>
      </c>
      <c r="D716" s="6" t="str">
        <f>'02-variable-info'!H716</f>
        <v>boolean</v>
      </c>
    </row>
    <row r="717">
      <c r="A717" s="6" t="str">
        <f>'02-variable-info'!A717</f>
        <v>04-06-renal.csv</v>
      </c>
      <c r="B717" s="6" t="str">
        <f>'02-variable-info'!B717</f>
        <v>dischargeOliguria</v>
      </c>
      <c r="C717" s="6" t="str">
        <f>'02-variable-info'!M717</f>
        <v>bool</v>
      </c>
      <c r="D717" s="6" t="str">
        <f>'02-variable-info'!H717</f>
        <v>boolean</v>
      </c>
    </row>
    <row r="718">
      <c r="A718" s="6" t="str">
        <f>'02-variable-info'!A718</f>
        <v>04-06-renal.csv</v>
      </c>
      <c r="B718" s="6" t="str">
        <f>'02-variable-info'!B718</f>
        <v>dischargeAnuria</v>
      </c>
      <c r="C718" s="6" t="str">
        <f>'02-variable-info'!M718</f>
        <v>bool</v>
      </c>
      <c r="D718" s="6" t="str">
        <f>'02-variable-info'!H718</f>
        <v>boolean</v>
      </c>
    </row>
    <row r="719">
      <c r="A719" s="6" t="str">
        <f>'02-variable-info'!A719</f>
        <v>04-06-renal.csv</v>
      </c>
      <c r="B719" s="6" t="str">
        <f>'02-variable-info'!B719</f>
        <v>dischargeDialysis</v>
      </c>
      <c r="C719" s="6" t="str">
        <f>'02-variable-info'!M719</f>
        <v>bool</v>
      </c>
      <c r="D719" s="6" t="str">
        <f>'02-variable-info'!H719</f>
        <v>boolean</v>
      </c>
    </row>
    <row r="720">
      <c r="A720" s="6" t="str">
        <f>'02-variable-info'!A720</f>
        <v>04-07-gastrointestinal.csv</v>
      </c>
      <c r="B720" s="6" t="str">
        <f>'02-variable-info'!B720</f>
        <v>dischargeEnteralFeedStart_day</v>
      </c>
      <c r="C720" s="6" t="str">
        <f>'02-variable-info'!M720</f>
        <v>int</v>
      </c>
      <c r="D720" s="6" t="str">
        <f>'02-variable-info'!H720</f>
        <v>number</v>
      </c>
    </row>
    <row r="721">
      <c r="A721" s="6" t="str">
        <f>'02-variable-info'!A721</f>
        <v>04-07-gastrointestinal.csv</v>
      </c>
      <c r="B721" s="6" t="str">
        <f>'02-variable-info'!B721</f>
        <v>dischargeTubeFeedingDuration_day</v>
      </c>
      <c r="C721" s="6" t="str">
        <f>'02-variable-info'!M721</f>
        <v>int</v>
      </c>
      <c r="D721" s="6" t="str">
        <f>'02-variable-info'!H721</f>
        <v>number</v>
      </c>
    </row>
    <row r="722">
      <c r="A722" s="6" t="str">
        <f>'02-variable-info'!A722</f>
        <v>04-07-gastrointestinal.csv</v>
      </c>
      <c r="B722" s="6" t="str">
        <f>'02-variable-info'!B722</f>
        <v>dischargeFullNippleFeed</v>
      </c>
      <c r="C722" s="6" t="str">
        <f>'02-variable-info'!M722</f>
        <v>bool</v>
      </c>
      <c r="D722" s="6" t="str">
        <f>'02-variable-info'!H722</f>
        <v>boolean</v>
      </c>
    </row>
    <row r="723">
      <c r="A723" s="6" t="str">
        <f>'02-variable-info'!A723</f>
        <v>04-07-gastrointestinal.csv</v>
      </c>
      <c r="B723" s="6" t="str">
        <f>'02-variable-info'!B723</f>
        <v>dischargeFullNippleFeed_day</v>
      </c>
      <c r="C723" s="6" t="str">
        <f>'02-variable-info'!M723</f>
        <v>int</v>
      </c>
      <c r="D723" s="6" t="str">
        <f>'02-variable-info'!H723</f>
        <v>number</v>
      </c>
    </row>
    <row r="724">
      <c r="A724" s="6" t="str">
        <f>'02-variable-info'!A724</f>
        <v>04-07-gastrointestinal.csv</v>
      </c>
      <c r="B724" s="6" t="str">
        <f>'02-variable-info'!B724</f>
        <v>dischargeNEC</v>
      </c>
      <c r="C724" s="6" t="str">
        <f>'02-variable-info'!M724</f>
        <v>bool</v>
      </c>
      <c r="D724" s="6" t="str">
        <f>'02-variable-info'!H724</f>
        <v>boolean</v>
      </c>
    </row>
    <row r="725">
      <c r="A725" s="6" t="str">
        <f>'02-variable-info'!A725</f>
        <v>04-07-gastrointestinal.csv</v>
      </c>
      <c r="B725" s="6" t="str">
        <f>'02-variable-info'!B725</f>
        <v>dischargeHepaticDysfunction</v>
      </c>
      <c r="C725" s="6" t="str">
        <f>'02-variable-info'!M725</f>
        <v>bool</v>
      </c>
      <c r="D725" s="6" t="str">
        <f>'02-variable-info'!H725</f>
        <v>boolean</v>
      </c>
    </row>
    <row r="726">
      <c r="A726" s="6" t="str">
        <f>'02-variable-info'!A726</f>
        <v>04-08-skin.csv</v>
      </c>
      <c r="B726" s="6" t="str">
        <f>'02-variable-info'!B726</f>
        <v>dischargeAlteredSkinItegrityPostIntervention</v>
      </c>
      <c r="C726" s="6" t="str">
        <f>'02-variable-info'!M726</f>
        <v>bool</v>
      </c>
      <c r="D726" s="6" t="str">
        <f>'02-variable-info'!H726</f>
        <v>boolean</v>
      </c>
    </row>
    <row r="727">
      <c r="A727" s="6" t="str">
        <f>'02-variable-info'!A727</f>
        <v>04-08-skin.csv</v>
      </c>
      <c r="B727" s="6" t="str">
        <f>'02-variable-info'!B727</f>
        <v>dischargeErythema</v>
      </c>
      <c r="C727" s="6" t="str">
        <f>'02-variable-info'!M727</f>
        <v>bool</v>
      </c>
      <c r="D727" s="6" t="str">
        <f>'02-variable-info'!H727</f>
        <v>boolean</v>
      </c>
    </row>
    <row r="728">
      <c r="A728" s="6" t="str">
        <f>'02-variable-info'!A728</f>
        <v>04-08-skin.csv</v>
      </c>
      <c r="B728" s="6" t="str">
        <f>'02-variable-info'!B728</f>
        <v>dischargeErythemaOnsetDate</v>
      </c>
      <c r="C728" s="6" t="str">
        <f>'02-variable-info'!M728</f>
        <v>date</v>
      </c>
      <c r="D728" s="6" t="str">
        <f>'02-variable-info'!H728</f>
        <v>date</v>
      </c>
    </row>
    <row r="729">
      <c r="A729" s="6" t="str">
        <f>'02-variable-info'!A729</f>
        <v>04-08-skin.csv</v>
      </c>
      <c r="B729" s="6" t="str">
        <f>'02-variable-info'!B729</f>
        <v>dischargeErythemaResolveDate</v>
      </c>
      <c r="C729" s="6" t="str">
        <f>'02-variable-info'!M729</f>
        <v>date</v>
      </c>
      <c r="D729" s="6" t="str">
        <f>'02-variable-info'!H729</f>
        <v>date</v>
      </c>
    </row>
    <row r="730">
      <c r="A730" s="6" t="str">
        <f>'02-variable-info'!A730</f>
        <v>04-08-skin.csv</v>
      </c>
      <c r="B730" s="6" t="str">
        <f>'02-variable-info'!B730</f>
        <v>dischargeSclerema</v>
      </c>
      <c r="C730" s="6" t="str">
        <f>'02-variable-info'!M730</f>
        <v>bool</v>
      </c>
      <c r="D730" s="6" t="str">
        <f>'02-variable-info'!H730</f>
        <v>boolean</v>
      </c>
    </row>
    <row r="731">
      <c r="A731" s="6" t="str">
        <f>'02-variable-info'!A731</f>
        <v>04-08-skin.csv</v>
      </c>
      <c r="B731" s="6" t="str">
        <f>'02-variable-info'!B731</f>
        <v>dischargeScleremaOnsetDate</v>
      </c>
      <c r="C731" s="6" t="str">
        <f>'02-variable-info'!M731</f>
        <v>date</v>
      </c>
      <c r="D731" s="6" t="str">
        <f>'02-variable-info'!H731</f>
        <v>date</v>
      </c>
    </row>
    <row r="732">
      <c r="A732" s="6" t="str">
        <f>'02-variable-info'!A732</f>
        <v>04-08-skin.csv</v>
      </c>
      <c r="B732" s="6" t="str">
        <f>'02-variable-info'!B732</f>
        <v>dischargeScleremaResolveDate</v>
      </c>
      <c r="C732" s="6" t="str">
        <f>'02-variable-info'!M732</f>
        <v>date</v>
      </c>
      <c r="D732" s="6" t="str">
        <f>'02-variable-info'!H732</f>
        <v>date</v>
      </c>
    </row>
    <row r="733">
      <c r="A733" s="6" t="str">
        <f>'02-variable-info'!A733</f>
        <v>04-08-skin.csv</v>
      </c>
      <c r="B733" s="6" t="str">
        <f>'02-variable-info'!B733</f>
        <v>dischargeCyanosis</v>
      </c>
      <c r="C733" s="6" t="str">
        <f>'02-variable-info'!M733</f>
        <v>bool</v>
      </c>
      <c r="D733" s="6" t="str">
        <f>'02-variable-info'!H733</f>
        <v>boolean</v>
      </c>
    </row>
    <row r="734">
      <c r="A734" s="6" t="str">
        <f>'02-variable-info'!A734</f>
        <v>04-08-skin.csv</v>
      </c>
      <c r="B734" s="6" t="str">
        <f>'02-variable-info'!B734</f>
        <v>dischargeCyanosisOnsetDate</v>
      </c>
      <c r="C734" s="6" t="str">
        <f>'02-variable-info'!M734</f>
        <v>date</v>
      </c>
      <c r="D734" s="6" t="str">
        <f>'02-variable-info'!H734</f>
        <v>date</v>
      </c>
    </row>
    <row r="735">
      <c r="A735" s="6" t="str">
        <f>'02-variable-info'!A735</f>
        <v>04-08-skin.csv</v>
      </c>
      <c r="B735" s="6" t="str">
        <f>'02-variable-info'!B735</f>
        <v>dischargeCyanosisResolveDate</v>
      </c>
      <c r="C735" s="6" t="str">
        <f>'02-variable-info'!M735</f>
        <v>date</v>
      </c>
      <c r="D735" s="6" t="str">
        <f>'02-variable-info'!H735</f>
        <v>date</v>
      </c>
    </row>
    <row r="736">
      <c r="A736" s="6" t="str">
        <f>'02-variable-info'!A736</f>
        <v>04-08-skin.csv</v>
      </c>
      <c r="B736" s="6" t="str">
        <f>'02-variable-info'!B736</f>
        <v>dischargeSubFatNecrosis</v>
      </c>
      <c r="C736" s="6" t="str">
        <f>'02-variable-info'!M736</f>
        <v>bool</v>
      </c>
      <c r="D736" s="6" t="str">
        <f>'02-variable-info'!H736</f>
        <v>boolean</v>
      </c>
    </row>
    <row r="737">
      <c r="A737" s="6" t="str">
        <f>'02-variable-info'!A737</f>
        <v>04-08-skin.csv</v>
      </c>
      <c r="B737" s="6" t="str">
        <f>'02-variable-info'!B737</f>
        <v>dischargeSubFatNecrosisOnsetDate</v>
      </c>
      <c r="C737" s="6" t="str">
        <f>'02-variable-info'!M737</f>
        <v>date</v>
      </c>
      <c r="D737" s="6" t="str">
        <f>'02-variable-info'!H737</f>
        <v>date</v>
      </c>
    </row>
    <row r="738">
      <c r="A738" s="6" t="str">
        <f>'02-variable-info'!A738</f>
        <v>04-08-skin.csv</v>
      </c>
      <c r="B738" s="6" t="str">
        <f>'02-variable-info'!B738</f>
        <v>dischargeSubFatNecrosisResolveDate</v>
      </c>
      <c r="C738" s="6" t="str">
        <f>'02-variable-info'!M738</f>
        <v>date</v>
      </c>
      <c r="D738" s="6" t="str">
        <f>'02-variable-info'!H738</f>
        <v>date</v>
      </c>
    </row>
    <row r="739">
      <c r="A739" s="6" t="str">
        <f>'02-variable-info'!A739</f>
        <v>04-09-auditory.csv</v>
      </c>
      <c r="B739" s="6" t="str">
        <f>'02-variable-info'!B739</f>
        <v>dischargeHearingTest</v>
      </c>
      <c r="C739" s="6" t="str">
        <f>'02-variable-info'!M739</f>
        <v>bool</v>
      </c>
      <c r="D739" s="6" t="str">
        <f>'02-variable-info'!H739</f>
        <v>boolean</v>
      </c>
    </row>
    <row r="740">
      <c r="A740" s="6" t="str">
        <f>'02-variable-info'!A740</f>
        <v>04-09-auditory.csv</v>
      </c>
      <c r="B740" s="6" t="str">
        <f>'02-variable-info'!B740</f>
        <v>dischargeHearingTestNormal</v>
      </c>
      <c r="C740" s="6" t="str">
        <f>'02-variable-info'!M740</f>
        <v>bool</v>
      </c>
      <c r="D740" s="6" t="str">
        <f>'02-variable-info'!H740</f>
        <v>boolean</v>
      </c>
    </row>
    <row r="741">
      <c r="A741" s="6" t="str">
        <f>'02-variable-info'!A741</f>
        <v>04-10-surgery.csv</v>
      </c>
      <c r="B741" s="6" t="str">
        <f>'02-variable-info'!B741</f>
        <v>dischargeMajorSurgery</v>
      </c>
      <c r="C741" s="6" t="str">
        <f>'02-variable-info'!M741</f>
        <v>bool</v>
      </c>
      <c r="D741" s="6" t="str">
        <f>'02-variable-info'!H741</f>
        <v>boolean</v>
      </c>
    </row>
    <row r="742">
      <c r="A742" s="6" t="str">
        <f>'02-variable-info'!A742</f>
        <v>04-10-surgery.csv</v>
      </c>
      <c r="B742" s="6" t="str">
        <f>'02-variable-info'!B742</f>
        <v>dischargeSurgeryCode1</v>
      </c>
      <c r="C742" s="6" t="str">
        <f>'02-variable-info'!M742</f>
        <v>surgery</v>
      </c>
      <c r="D742" s="6" t="str">
        <f>'02-variable-info'!H742</f>
        <v>nomial</v>
      </c>
    </row>
    <row r="743">
      <c r="A743" s="6" t="str">
        <f>'02-variable-info'!A743</f>
        <v>04-11-infection.csv</v>
      </c>
      <c r="B743" s="6" t="str">
        <f>'02-variable-info'!B743</f>
        <v>dischargeSepticemia</v>
      </c>
      <c r="C743" s="6" t="str">
        <f>'02-variable-info'!M743</f>
        <v>bool</v>
      </c>
      <c r="D743" s="6" t="str">
        <f>'02-variable-info'!H743</f>
        <v>boolean</v>
      </c>
    </row>
    <row r="744">
      <c r="A744" s="6" t="str">
        <f>'02-variable-info'!A744</f>
        <v>04-11-infection.csv</v>
      </c>
      <c r="B744" s="6" t="str">
        <f>'02-variable-info'!B744</f>
        <v>dischargeSepticemiaOrganismCode1</v>
      </c>
      <c r="C744" s="6" t="str">
        <f>'02-variable-info'!M744</f>
        <v>positiveCultureOrganism</v>
      </c>
      <c r="D744" s="6" t="str">
        <f>'02-variable-info'!H744</f>
        <v>nomial</v>
      </c>
    </row>
    <row r="745">
      <c r="A745" s="6" t="str">
        <f>'02-variable-info'!A745</f>
        <v>04-11-infection.csv</v>
      </c>
      <c r="B745" s="6" t="str">
        <f>'02-variable-info'!B745</f>
        <v>dischargeMeningitisEncephalitis</v>
      </c>
      <c r="C745" s="6" t="str">
        <f>'02-variable-info'!M745</f>
        <v>bool</v>
      </c>
      <c r="D745" s="6" t="str">
        <f>'02-variable-info'!H745</f>
        <v>boolean</v>
      </c>
    </row>
    <row r="746">
      <c r="A746" s="6" t="str">
        <f>'02-variable-info'!A746</f>
        <v>04-11-infection.csv</v>
      </c>
      <c r="B746" s="6" t="str">
        <f>'02-variable-info'!B746</f>
        <v>dischargeMeningitisOrganismCode1</v>
      </c>
      <c r="C746" s="6" t="str">
        <f>'02-variable-info'!M746</f>
        <v>positiveCultureOrganism</v>
      </c>
      <c r="D746" s="6" t="str">
        <f>'02-variable-info'!H746</f>
        <v>nomial</v>
      </c>
    </row>
    <row r="747">
      <c r="A747" s="6" t="str">
        <f>'02-variable-info'!A747</f>
        <v>04-12-neuro-exam.csv</v>
      </c>
      <c r="B747" s="6" t="str">
        <f>'02-variable-info'!B747</f>
        <v>dischargeNeuroExamDate</v>
      </c>
      <c r="C747" s="6" t="str">
        <f>'02-variable-info'!M747</f>
        <v>date</v>
      </c>
      <c r="D747" s="6" t="str">
        <f>'02-variable-info'!H747</f>
        <v>date</v>
      </c>
    </row>
    <row r="748">
      <c r="A748" s="6" t="str">
        <f>'02-variable-info'!A748</f>
        <v>04-12-neuro-exam.csv</v>
      </c>
      <c r="B748" s="6" t="str">
        <f>'02-variable-info'!B748</f>
        <v>dischargeNeuroExamTime</v>
      </c>
      <c r="C748" s="6" t="str">
        <f>'02-variable-info'!M748</f>
        <v>time</v>
      </c>
      <c r="D748" s="6" t="str">
        <f>'02-variable-info'!H748</f>
        <v>time</v>
      </c>
    </row>
    <row r="749">
      <c r="A749" s="6" t="str">
        <f>'02-variable-info'!A749</f>
        <v>04-12-neuro-exam.csv</v>
      </c>
      <c r="B749" s="6" t="str">
        <f>'02-variable-info'!B749</f>
        <v>dischargeNeuroExamLevelConsciousness</v>
      </c>
      <c r="C749" s="6" t="str">
        <f>'02-variable-info'!M749</f>
        <v>signOfHIELvlOfCons</v>
      </c>
      <c r="D749" s="6" t="str">
        <f>'02-variable-info'!H749</f>
        <v>ordinal</v>
      </c>
    </row>
    <row r="750">
      <c r="A750" s="6" t="str">
        <f>'02-variable-info'!A750</f>
        <v>04-12-neuro-exam.csv</v>
      </c>
      <c r="B750" s="6" t="str">
        <f>'02-variable-info'!B750</f>
        <v>dischargeNeuroExamSpontaneousActivity</v>
      </c>
      <c r="C750" s="6" t="str">
        <f>'02-variable-info'!M750</f>
        <v>signOfHIESpontaneousActivity</v>
      </c>
      <c r="D750" s="6" t="str">
        <f>'02-variable-info'!H750</f>
        <v>ordinal</v>
      </c>
    </row>
    <row r="751">
      <c r="A751" s="6" t="str">
        <f>'02-variable-info'!A751</f>
        <v>04-12-neuro-exam.csv</v>
      </c>
      <c r="B751" s="6" t="str">
        <f>'02-variable-info'!B751</f>
        <v>dischargeNeuroExamPosture</v>
      </c>
      <c r="C751" s="6" t="str">
        <f>'02-variable-info'!M751</f>
        <v>signOfHIEPosture</v>
      </c>
      <c r="D751" s="6" t="str">
        <f>'02-variable-info'!H751</f>
        <v>ordinal</v>
      </c>
    </row>
    <row r="752">
      <c r="A752" s="6" t="str">
        <f>'02-variable-info'!A752</f>
        <v>04-12-neuro-exam.csv</v>
      </c>
      <c r="B752" s="6" t="str">
        <f>'02-variable-info'!B752</f>
        <v>dischargeNeuroExamTone</v>
      </c>
      <c r="C752" s="6" t="str">
        <f>'02-variable-info'!M752</f>
        <v>signOfHIETone</v>
      </c>
      <c r="D752" s="6" t="str">
        <f>'02-variable-info'!H752</f>
        <v>ordinal</v>
      </c>
    </row>
    <row r="753">
      <c r="A753" s="6" t="str">
        <f>'02-variable-info'!A753</f>
        <v>04-12-neuro-exam.csv</v>
      </c>
      <c r="B753" s="6" t="str">
        <f>'02-variable-info'!B753</f>
        <v>dischargeNeuroExamSuck</v>
      </c>
      <c r="C753" s="6" t="str">
        <f>'02-variable-info'!M753</f>
        <v>signOfHIESuck</v>
      </c>
      <c r="D753" s="6" t="str">
        <f>'02-variable-info'!H753</f>
        <v>ordinal</v>
      </c>
    </row>
    <row r="754">
      <c r="A754" s="6" t="str">
        <f>'02-variable-info'!A754</f>
        <v>04-12-neuro-exam.csv</v>
      </c>
      <c r="B754" s="6" t="str">
        <f>'02-variable-info'!B754</f>
        <v>dischargeNeuroExamMoro</v>
      </c>
      <c r="C754" s="6" t="str">
        <f>'02-variable-info'!M754</f>
        <v>signOfHIEMoro</v>
      </c>
      <c r="D754" s="6" t="str">
        <f>'02-variable-info'!H754</f>
        <v>ordinal</v>
      </c>
    </row>
    <row r="755">
      <c r="A755" s="6" t="str">
        <f>'02-variable-info'!A755</f>
        <v>04-12-neuro-exam.csv</v>
      </c>
      <c r="B755" s="6" t="str">
        <f>'02-variable-info'!B755</f>
        <v>dischargeNeuroExamPupils</v>
      </c>
      <c r="C755" s="6" t="str">
        <f>'02-variable-info'!M755</f>
        <v>signOfHIEPupils</v>
      </c>
      <c r="D755" s="6" t="str">
        <f>'02-variable-info'!H755</f>
        <v>ordinal</v>
      </c>
    </row>
    <row r="756">
      <c r="A756" s="6" t="str">
        <f>'02-variable-info'!A756</f>
        <v>04-12-neuro-exam.csv</v>
      </c>
      <c r="B756" s="6" t="str">
        <f>'02-variable-info'!B756</f>
        <v>dischargeNeuroExamHeartRate</v>
      </c>
      <c r="C756" s="6" t="str">
        <f>'02-variable-info'!M756</f>
        <v>signOfHIEHeartRate</v>
      </c>
      <c r="D756" s="6" t="str">
        <f>'02-variable-info'!H756</f>
        <v>ordinal</v>
      </c>
    </row>
    <row r="757">
      <c r="A757" s="6" t="str">
        <f>'02-variable-info'!A757</f>
        <v>04-12-neuro-exam.csv</v>
      </c>
      <c r="B757" s="6" t="str">
        <f>'02-variable-info'!B757</f>
        <v>dischargeNeuroExamRespiration</v>
      </c>
      <c r="C757" s="6" t="str">
        <f>'02-variable-info'!M757</f>
        <v>signOfHIERespiratory</v>
      </c>
      <c r="D757" s="6" t="str">
        <f>'02-variable-info'!H757</f>
        <v>ordinal</v>
      </c>
    </row>
    <row r="758">
      <c r="A758" s="6" t="str">
        <f>'02-variable-info'!A758</f>
        <v>04-12-neuro-exam.csv</v>
      </c>
      <c r="B758" s="6" t="str">
        <f>'02-variable-info'!B758</f>
        <v>dischargeNeuroExamSeizure</v>
      </c>
      <c r="C758" s="6" t="str">
        <f>'02-variable-info'!M758</f>
        <v>bool</v>
      </c>
      <c r="D758" s="6" t="str">
        <f>'02-variable-info'!H758</f>
        <v>boolean</v>
      </c>
    </row>
    <row r="759">
      <c r="A759" s="6" t="str">
        <f>'02-variable-info'!A759</f>
        <v>04-12-neuro-exam.csv</v>
      </c>
      <c r="B759" s="6" t="str">
        <f>'02-variable-info'!B759</f>
        <v>dischargeNeuroExamClonusSustained</v>
      </c>
      <c r="C759" s="6" t="str">
        <f>'02-variable-info'!M759</f>
        <v>bool</v>
      </c>
      <c r="D759" s="6" t="str">
        <f>'02-variable-info'!H759</f>
        <v>boolean</v>
      </c>
    </row>
    <row r="760">
      <c r="A760" s="6" t="str">
        <f>'02-variable-info'!A760</f>
        <v>04-12-neuro-exam.csv</v>
      </c>
      <c r="B760" s="6" t="str">
        <f>'02-variable-info'!B760</f>
        <v>dischargeNeuroExamFistedHand</v>
      </c>
      <c r="C760" s="6" t="str">
        <f>'02-variable-info'!M760</f>
        <v>bool</v>
      </c>
      <c r="D760" s="6" t="str">
        <f>'02-variable-info'!H760</f>
        <v>boolean</v>
      </c>
    </row>
    <row r="761">
      <c r="A761" s="6" t="str">
        <f>'02-variable-info'!A761</f>
        <v>04-12-neuro-exam.csv</v>
      </c>
      <c r="B761" s="6" t="str">
        <f>'02-variable-info'!B761</f>
        <v>dischargeNeuroExamAbnormalMovement</v>
      </c>
      <c r="C761" s="6" t="str">
        <f>'02-variable-info'!M761</f>
        <v>bool</v>
      </c>
      <c r="D761" s="6" t="str">
        <f>'02-variable-info'!H761</f>
        <v>boolean</v>
      </c>
    </row>
    <row r="762">
      <c r="A762" s="6" t="str">
        <f>'02-variable-info'!A762</f>
        <v>04-12-neuro-exam.csv</v>
      </c>
      <c r="B762" s="6" t="str">
        <f>'02-variable-info'!B762</f>
        <v>dischargeNeuroExamGagReflexAbsent</v>
      </c>
      <c r="C762" s="6" t="str">
        <f>'02-variable-info'!M762</f>
        <v>bool</v>
      </c>
      <c r="D762" s="6" t="str">
        <f>'02-variable-info'!H762</f>
        <v>boolean</v>
      </c>
    </row>
    <row r="763">
      <c r="A763" s="6" t="str">
        <f>'02-variable-info'!A763</f>
        <v>04-12-neuro-exam.csv</v>
      </c>
      <c r="B763" s="6" t="str">
        <f>'02-variable-info'!B763</f>
        <v>dischargeNeuroExamSedate</v>
      </c>
      <c r="C763" s="6" t="str">
        <f>'02-variable-info'!M763</f>
        <v>bool</v>
      </c>
      <c r="D763" s="6" t="str">
        <f>'02-variable-info'!H763</f>
        <v>boolean</v>
      </c>
    </row>
    <row r="764">
      <c r="A764" s="6" t="str">
        <f>'02-variable-info'!A764</f>
        <v>04-12-neuro-exam.csv</v>
      </c>
      <c r="B764" s="6" t="str">
        <f>'02-variable-info'!B764</f>
        <v>dischargeNeuroExamHypertonia</v>
      </c>
      <c r="C764" s="6" t="str">
        <f>'02-variable-info'!M764</f>
        <v>bool</v>
      </c>
      <c r="D764" s="6" t="str">
        <f>'02-variable-info'!H764</f>
        <v>boolean</v>
      </c>
    </row>
    <row r="765">
      <c r="A765" s="6" t="str">
        <f>'02-variable-info'!A765</f>
        <v>04-12-neuro-exam.csv</v>
      </c>
      <c r="B765" s="6" t="str">
        <f>'02-variable-info'!B765</f>
        <v>dischargeNeuroExamAsymTonicNeckReflex</v>
      </c>
      <c r="C765" s="6" t="str">
        <f>'02-variable-info'!M765</f>
        <v>bool</v>
      </c>
      <c r="D765" s="6" t="str">
        <f>'02-variable-info'!H765</f>
        <v>boolean</v>
      </c>
    </row>
    <row r="766">
      <c r="A766" s="6" t="str">
        <f>'02-variable-info'!A766</f>
        <v>04-12_1-total-modified-sarnat.csv</v>
      </c>
      <c r="B766" s="6" t="str">
        <f>'02-variable-info'!B766</f>
        <v>dischargeNeuroExamReflexScore</v>
      </c>
      <c r="C766" s="6" t="str">
        <f>'02-variable-info'!M766</f>
        <v>int</v>
      </c>
      <c r="D766" s="6" t="str">
        <f>'02-variable-info'!H766</f>
        <v>number</v>
      </c>
    </row>
    <row r="767">
      <c r="A767" s="6" t="str">
        <f>'02-variable-info'!A767</f>
        <v>04-12_1-total-modified-sarnat.csv</v>
      </c>
      <c r="B767" s="6" t="str">
        <f>'02-variable-info'!B767</f>
        <v>dischargeNeuroExamANSScore</v>
      </c>
      <c r="C767" s="6" t="str">
        <f>'02-variable-info'!M767</f>
        <v>int</v>
      </c>
      <c r="D767" s="6" t="str">
        <f>'02-variable-info'!H767</f>
        <v>number</v>
      </c>
    </row>
    <row r="768">
      <c r="A768" s="6" t="str">
        <f>'02-variable-info'!A768</f>
        <v>04-12_1-total-modified-sarnat.csv</v>
      </c>
      <c r="B768" s="6" t="str">
        <f>'02-variable-info'!B768</f>
        <v>dischargeTotalModifiedSarnatScore</v>
      </c>
      <c r="C768" s="6" t="str">
        <f>'02-variable-info'!M768</f>
        <v>int</v>
      </c>
      <c r="D768" s="6" t="str">
        <f>'02-variable-info'!H768</f>
        <v>number</v>
      </c>
    </row>
    <row r="769">
      <c r="A769" s="6" t="str">
        <f>'02-variable-info'!A769</f>
        <v>04-13-seizure.csv</v>
      </c>
      <c r="B769" s="6" t="str">
        <f>'02-variable-info'!B769</f>
        <v>dischargeSeizure</v>
      </c>
      <c r="C769" s="6" t="str">
        <f>'02-variable-info'!M769</f>
        <v>bool</v>
      </c>
      <c r="D769" s="6" t="str">
        <f>'02-variable-info'!H769</f>
        <v>boolean</v>
      </c>
    </row>
    <row r="770">
      <c r="A770" s="6" t="str">
        <f>'02-variable-info'!A770</f>
        <v>04-13-seizure.csv</v>
      </c>
      <c r="B770" s="6" t="str">
        <f>'02-variable-info'!B770</f>
        <v>dischargeSeizurePreIntervention</v>
      </c>
      <c r="C770" s="6" t="str">
        <f>'02-variable-info'!M770</f>
        <v>bool</v>
      </c>
      <c r="D770" s="6" t="str">
        <f>'02-variable-info'!H770</f>
        <v>boolean</v>
      </c>
    </row>
    <row r="771">
      <c r="A771" s="6" t="str">
        <f>'02-variable-info'!A771</f>
        <v>04-13-seizure.csv</v>
      </c>
      <c r="B771" s="6" t="str">
        <f>'02-variable-info'!B771</f>
        <v>dischargeSeizureAfterBaseline</v>
      </c>
      <c r="C771" s="6" t="str">
        <f>'02-variable-info'!M771</f>
        <v>bool</v>
      </c>
      <c r="D771" s="6" t="str">
        <f>'02-variable-info'!H771</f>
        <v>boolean</v>
      </c>
    </row>
    <row r="772">
      <c r="A772" s="6" t="str">
        <f>'02-variable-info'!A772</f>
        <v>04-13-seizure.csv</v>
      </c>
      <c r="B772" s="6" t="str">
        <f>'02-variable-info'!B772</f>
        <v>dischargeSeizureMaintenance</v>
      </c>
      <c r="C772" s="6" t="str">
        <f>'02-variable-info'!M772</f>
        <v>bool</v>
      </c>
      <c r="D772" s="6" t="str">
        <f>'02-variable-info'!H772</f>
        <v>boolean</v>
      </c>
    </row>
    <row r="773">
      <c r="A773" s="6" t="str">
        <f>'02-variable-info'!A773</f>
        <v>04-13-seizure.csv</v>
      </c>
      <c r="B773" s="6" t="str">
        <f>'02-variable-info'!B773</f>
        <v>dischargeSeizureRewarming</v>
      </c>
      <c r="C773" s="6" t="str">
        <f>'02-variable-info'!M773</f>
        <v>bool</v>
      </c>
      <c r="D773" s="6" t="str">
        <f>'02-variable-info'!H773</f>
        <v>boolean</v>
      </c>
    </row>
    <row r="774">
      <c r="A774" s="6" t="str">
        <f>'02-variable-info'!A774</f>
        <v>04-13-seizure.csv</v>
      </c>
      <c r="B774" s="6" t="str">
        <f>'02-variable-info'!B774</f>
        <v>dischargeSeizurePostIntervention</v>
      </c>
      <c r="C774" s="6" t="str">
        <f>'02-variable-info'!M774</f>
        <v>bool</v>
      </c>
      <c r="D774" s="6" t="str">
        <f>'02-variable-info'!H774</f>
        <v>boolean</v>
      </c>
    </row>
    <row r="775">
      <c r="A775" s="6" t="str">
        <f>'02-variable-info'!A775</f>
        <v>04-13-seizure.csv</v>
      </c>
      <c r="B775" s="6" t="str">
        <f>'02-variable-info'!B775</f>
        <v>dischargeEEG</v>
      </c>
      <c r="C775" s="6" t="str">
        <f>'02-variable-info'!M775</f>
        <v>bool</v>
      </c>
      <c r="D775" s="6" t="str">
        <f>'02-variable-info'!H775</f>
        <v>boolean</v>
      </c>
    </row>
    <row r="776">
      <c r="A776" s="6" t="str">
        <f>'02-variable-info'!A776</f>
        <v>04-13-seizure.csv</v>
      </c>
      <c r="B776" s="6" t="str">
        <f>'02-variable-info'!B776</f>
        <v>dischargeEEGFindingConsistentWithSeizure</v>
      </c>
      <c r="C776" s="6" t="str">
        <f>'02-variable-info'!M776</f>
        <v>bool</v>
      </c>
      <c r="D776" s="6" t="str">
        <f>'02-variable-info'!H776</f>
        <v>boolean</v>
      </c>
    </row>
    <row r="777">
      <c r="A777" s="6" t="str">
        <f>'02-variable-info'!A777</f>
        <v>04-13-seizure.csv</v>
      </c>
      <c r="B777" s="6" t="str">
        <f>'02-variable-info'!B777</f>
        <v>dischargeEEGFindingConsistentWithSeizureDate</v>
      </c>
      <c r="C777" s="6" t="str">
        <f>'02-variable-info'!M777</f>
        <v>date</v>
      </c>
      <c r="D777" s="6" t="str">
        <f>'02-variable-info'!H777</f>
        <v>date</v>
      </c>
    </row>
    <row r="778">
      <c r="A778" s="6" t="str">
        <f>'02-variable-info'!A778</f>
        <v>04-13-seizure.csv</v>
      </c>
      <c r="B778" s="6" t="str">
        <f>'02-variable-info'!B778</f>
        <v>dischargeEEGFindingConsistentWithSeizureTime</v>
      </c>
      <c r="C778" s="6" t="str">
        <f>'02-variable-info'!M778</f>
        <v>time</v>
      </c>
      <c r="D778" s="6" t="str">
        <f>'02-variable-info'!H778</f>
        <v>time</v>
      </c>
    </row>
    <row r="779">
      <c r="A779" s="6" t="str">
        <f>'02-variable-info'!A779</f>
        <v>04-13-seizure.csv</v>
      </c>
      <c r="B779" s="6" t="str">
        <f>'02-variable-info'!B779</f>
        <v>dischargeEEGAbnormalBackgroundActivity</v>
      </c>
      <c r="C779" s="6" t="str">
        <f>'02-variable-info'!M779</f>
        <v>bool</v>
      </c>
      <c r="D779" s="6" t="str">
        <f>'02-variable-info'!H779</f>
        <v>boolean</v>
      </c>
    </row>
    <row r="780">
      <c r="A780" s="6" t="str">
        <f>'02-variable-info'!A780</f>
        <v>04-13-seizure.csv</v>
      </c>
      <c r="B780" s="6" t="str">
        <f>'02-variable-info'!B780</f>
        <v>dischargeEEGAbnormalBackgroundActivityDate</v>
      </c>
      <c r="C780" s="6" t="str">
        <f>'02-variable-info'!M780</f>
        <v>date</v>
      </c>
      <c r="D780" s="6" t="str">
        <f>'02-variable-info'!H780</f>
        <v>date</v>
      </c>
    </row>
    <row r="781">
      <c r="A781" s="6" t="str">
        <f>'02-variable-info'!A781</f>
        <v>04-13-seizure.csv</v>
      </c>
      <c r="B781" s="6" t="str">
        <f>'02-variable-info'!B781</f>
        <v>dischargeEEGAbnormalBackgroundActivityTime</v>
      </c>
      <c r="C781" s="6" t="str">
        <f>'02-variable-info'!M781</f>
        <v>time</v>
      </c>
      <c r="D781" s="6" t="str">
        <f>'02-variable-info'!H781</f>
        <v>time</v>
      </c>
    </row>
    <row r="782">
      <c r="A782" s="6" t="str">
        <f>'02-variable-info'!A782</f>
        <v>04-13-seizure.csv</v>
      </c>
      <c r="B782" s="6" t="str">
        <f>'02-variable-info'!B782</f>
        <v>dischargeAnticonvulsantsGreater72H</v>
      </c>
      <c r="C782" s="6" t="str">
        <f>'02-variable-info'!M782</f>
        <v>bool</v>
      </c>
      <c r="D782" s="6" t="str">
        <f>'02-variable-info'!H782</f>
        <v>boolean</v>
      </c>
    </row>
    <row r="783">
      <c r="A783" s="6" t="str">
        <f>'02-variable-info'!A783</f>
        <v>04-13-seizure.csv</v>
      </c>
      <c r="B783" s="6" t="str">
        <f>'02-variable-info'!B783</f>
        <v>dischargeAnticonvulsants</v>
      </c>
      <c r="C783" s="6" t="str">
        <f>'02-variable-info'!M783</f>
        <v>bool</v>
      </c>
      <c r="D783" s="6" t="str">
        <f>'02-variable-info'!H783</f>
        <v>boolean</v>
      </c>
    </row>
    <row r="784">
      <c r="A784" s="6" t="str">
        <f>'02-variable-info'!A784</f>
        <v>04-14-birth-defect.csv</v>
      </c>
      <c r="B784" s="6" t="str">
        <f>'02-variable-info'!B784</f>
        <v>dischargeSyndromeMalformation</v>
      </c>
      <c r="C784" s="6" t="str">
        <f>'02-variable-info'!M784</f>
        <v>bool</v>
      </c>
      <c r="D784" s="6" t="str">
        <f>'02-variable-info'!H784</f>
        <v>boolean</v>
      </c>
    </row>
    <row r="785">
      <c r="A785" s="6" t="str">
        <f>'02-variable-info'!A785</f>
        <v>04-14-birth-defect.csv</v>
      </c>
      <c r="B785" s="6" t="str">
        <f>'02-variable-info'!B785</f>
        <v>dischargeBirthDefectCode1</v>
      </c>
      <c r="C785" s="6" t="str">
        <f>'02-variable-info'!M785</f>
        <v>birthDefect</v>
      </c>
      <c r="D785" s="6" t="str">
        <f>'02-variable-info'!H785</f>
        <v>nomial</v>
      </c>
    </row>
    <row r="786">
      <c r="A786" s="6" t="str">
        <f>'02-variable-info'!A786</f>
        <v>04-15-home-therapy.csv</v>
      </c>
      <c r="B786" s="6" t="str">
        <f>'02-variable-info'!B786</f>
        <v>dischargeHomeTherapy</v>
      </c>
      <c r="C786" s="6" t="str">
        <f>'02-variable-info'!M786</f>
        <v>bool</v>
      </c>
      <c r="D786" s="6" t="str">
        <f>'02-variable-info'!H786</f>
        <v>boolean</v>
      </c>
    </row>
    <row r="787">
      <c r="A787" s="6" t="str">
        <f>'02-variable-info'!A787</f>
        <v>04-15-home-therapy.csv</v>
      </c>
      <c r="B787" s="6" t="str">
        <f>'02-variable-info'!B787</f>
        <v>dischargeHomeTherapyVentilator</v>
      </c>
      <c r="C787" s="6" t="str">
        <f>'02-variable-info'!M787</f>
        <v>bool</v>
      </c>
      <c r="D787" s="6" t="str">
        <f>'02-variable-info'!H787</f>
        <v>boolean</v>
      </c>
    </row>
    <row r="788">
      <c r="A788" s="6" t="str">
        <f>'02-variable-info'!A788</f>
        <v>04-15-home-therapy.csv</v>
      </c>
      <c r="B788" s="6" t="str">
        <f>'02-variable-info'!B788</f>
        <v>dischargeHomeTherapyOxygen</v>
      </c>
      <c r="C788" s="6" t="str">
        <f>'02-variable-info'!M788</f>
        <v>bool</v>
      </c>
      <c r="D788" s="6" t="str">
        <f>'02-variable-info'!H788</f>
        <v>boolean</v>
      </c>
    </row>
    <row r="789">
      <c r="A789" s="6" t="str">
        <f>'02-variable-info'!A789</f>
        <v>04-15-home-therapy.csv</v>
      </c>
      <c r="B789" s="6" t="str">
        <f>'02-variable-info'!B789</f>
        <v>dischargeHomeTherapyGavageTubeFeed</v>
      </c>
      <c r="C789" s="6" t="str">
        <f>'02-variable-info'!M789</f>
        <v>bool</v>
      </c>
      <c r="D789" s="6" t="str">
        <f>'02-variable-info'!H789</f>
        <v>boolean</v>
      </c>
    </row>
    <row r="790">
      <c r="A790" s="6" t="str">
        <f>'02-variable-info'!A790</f>
        <v>04-15-home-therapy.csv</v>
      </c>
      <c r="B790" s="6" t="str">
        <f>'02-variable-info'!B790</f>
        <v>dischargeHomeTherapyGastrostomyTubeFeed</v>
      </c>
      <c r="C790" s="6" t="str">
        <f>'02-variable-info'!M790</f>
        <v>bool</v>
      </c>
      <c r="D790" s="6" t="str">
        <f>'02-variable-info'!H790</f>
        <v>boolean</v>
      </c>
    </row>
    <row r="791">
      <c r="A791" s="6" t="str">
        <f>'02-variable-info'!A791</f>
        <v>04-15-home-therapy.csv</v>
      </c>
      <c r="B791" s="6" t="str">
        <f>'02-variable-info'!B791</f>
        <v>dischargeHomeTherapyTemperatureBlanket</v>
      </c>
      <c r="C791" s="6" t="str">
        <f>'02-variable-info'!M791</f>
        <v>bool</v>
      </c>
      <c r="D791" s="6" t="str">
        <f>'02-variable-info'!H791</f>
        <v>boolean</v>
      </c>
    </row>
    <row r="792">
      <c r="A792" s="6" t="str">
        <f>'02-variable-info'!A792</f>
        <v>04-15-home-therapy.csv</v>
      </c>
      <c r="B792" s="6" t="str">
        <f>'02-variable-info'!B792</f>
        <v>dischargeHomeTherapyAnticonvulsantMedication</v>
      </c>
      <c r="C792" s="6" t="str">
        <f>'02-variable-info'!M792</f>
        <v>bool</v>
      </c>
      <c r="D792" s="6" t="str">
        <f>'02-variable-info'!H792</f>
        <v>boolean</v>
      </c>
    </row>
    <row r="793">
      <c r="A793" s="6" t="str">
        <f>'02-variable-info'!A793</f>
        <v>04-15-home-therapy.csv</v>
      </c>
      <c r="B793" s="6" t="str">
        <f>'02-variable-info'!B793</f>
        <v>dischargeHomeTherapyOther</v>
      </c>
      <c r="C793" s="6" t="str">
        <f>'02-variable-info'!M793</f>
        <v>bool</v>
      </c>
      <c r="D793" s="6" t="str">
        <f>'02-variable-info'!H793</f>
        <v>boolean</v>
      </c>
    </row>
    <row r="794">
      <c r="A794" s="6" t="str">
        <f>'02-variable-info'!A794</f>
        <v>04-15-home-therapy.csv</v>
      </c>
      <c r="B794" s="6" t="str">
        <f>'02-variable-info'!B794</f>
        <v>dischargeHomeTherapyOtherText</v>
      </c>
      <c r="C794" s="6" t="str">
        <f>'02-variable-info'!M794</f>
        <v>text</v>
      </c>
      <c r="D794" s="6" t="str">
        <f>'02-variable-info'!H794</f>
        <v>text</v>
      </c>
    </row>
    <row r="795">
      <c r="A795" s="6" t="str">
        <f>'02-variable-info'!A795</f>
        <v>04-16-wdraw-support.csv</v>
      </c>
      <c r="B795" s="6" t="str">
        <f>'02-variable-info'!B795</f>
        <v>wdrawSupport</v>
      </c>
      <c r="C795" s="6" t="str">
        <f>'02-variable-info'!M795</f>
        <v>bool</v>
      </c>
      <c r="D795" s="6" t="str">
        <f>'02-variable-info'!H795</f>
        <v>boolean</v>
      </c>
    </row>
    <row r="796">
      <c r="A796" s="6" t="str">
        <f>'02-variable-info'!A796</f>
        <v>04-16-wdraw-support.csv</v>
      </c>
      <c r="B796" s="6" t="str">
        <f>'02-variable-info'!B796</f>
        <v>wdrawSupportDate</v>
      </c>
      <c r="C796" s="6" t="str">
        <f>'02-variable-info'!M796</f>
        <v>date</v>
      </c>
      <c r="D796" s="6" t="str">
        <f>'02-variable-info'!H796</f>
        <v>date</v>
      </c>
    </row>
    <row r="797">
      <c r="A797" s="6" t="str">
        <f>'02-variable-info'!A797</f>
        <v>04-16-wdraw-support.csv</v>
      </c>
      <c r="B797" s="6" t="str">
        <f>'02-variable-info'!B797</f>
        <v>wdrawSupportTime</v>
      </c>
      <c r="C797" s="6" t="str">
        <f>'02-variable-info'!M797</f>
        <v>time</v>
      </c>
      <c r="D797" s="6" t="str">
        <f>'02-variable-info'!H797</f>
        <v>time</v>
      </c>
    </row>
    <row r="798">
      <c r="A798" s="6" t="str">
        <f>'02-variable-info'!A798</f>
        <v>04-16-wdraw-support.csv</v>
      </c>
      <c r="B798" s="6" t="str">
        <f>'02-variable-info'!B798</f>
        <v>wdrawSupportDiscussedWithFamily</v>
      </c>
      <c r="C798" s="6" t="str">
        <f>'02-variable-info'!M798</f>
        <v>bool</v>
      </c>
      <c r="D798" s="6" t="str">
        <f>'02-variable-info'!H798</f>
        <v>boolean</v>
      </c>
    </row>
    <row r="799">
      <c r="A799" s="6" t="str">
        <f>'02-variable-info'!A799</f>
        <v>04-16-wdraw-support.csv</v>
      </c>
      <c r="B799" s="6" t="str">
        <f>'02-variable-info'!B799</f>
        <v>wdrawSupportRecommendSolelyByClinicalTeam</v>
      </c>
      <c r="C799" s="6" t="str">
        <f>'02-variable-info'!M799</f>
        <v>bool</v>
      </c>
      <c r="D799" s="6" t="str">
        <f>'02-variable-info'!H799</f>
        <v>boolean</v>
      </c>
    </row>
    <row r="800">
      <c r="A800" s="6" t="str">
        <f>'02-variable-info'!A800</f>
        <v>04-16-wdraw-support.csv</v>
      </c>
      <c r="B800" s="6" t="str">
        <f>'02-variable-info'!B800</f>
        <v>wdrawSupportNeurologicalExam</v>
      </c>
      <c r="C800" s="6" t="str">
        <f>'02-variable-info'!M800</f>
        <v>bool</v>
      </c>
      <c r="D800" s="6" t="str">
        <f>'02-variable-info'!H800</f>
        <v>boolean</v>
      </c>
    </row>
    <row r="801">
      <c r="A801" s="6" t="str">
        <f>'02-variable-info'!A801</f>
        <v>04-16-wdraw-support.csv</v>
      </c>
      <c r="B801" s="6" t="str">
        <f>'02-variable-info'!B801</f>
        <v>wdrawSupportImagingStudy</v>
      </c>
      <c r="C801" s="6" t="str">
        <f>'02-variable-info'!M801</f>
        <v>bool</v>
      </c>
      <c r="D801" s="6" t="str">
        <f>'02-variable-info'!H801</f>
        <v>boolean</v>
      </c>
    </row>
    <row r="802">
      <c r="A802" s="6" t="str">
        <f>'02-variable-info'!A802</f>
        <v>04-16-wdraw-support.csv</v>
      </c>
      <c r="B802" s="6" t="str">
        <f>'02-variable-info'!B802</f>
        <v>wdrawSupportEEGFinding</v>
      </c>
      <c r="C802" s="6" t="str">
        <f>'02-variable-info'!M802</f>
        <v>bool</v>
      </c>
      <c r="D802" s="6" t="str">
        <f>'02-variable-info'!H802</f>
        <v>boolean</v>
      </c>
    </row>
    <row r="803">
      <c r="A803" s="6" t="str">
        <f>'02-variable-info'!A803</f>
        <v>04-16-wdraw-support.csv</v>
      </c>
      <c r="B803" s="6" t="str">
        <f>'02-variable-info'!B803</f>
        <v>wdrawSupportMultisystemOrganFailureOtherThanCNS</v>
      </c>
      <c r="C803" s="6" t="str">
        <f>'02-variable-info'!M803</f>
        <v>bool</v>
      </c>
      <c r="D803" s="6" t="str">
        <f>'02-variable-info'!H803</f>
        <v>boolean</v>
      </c>
    </row>
    <row r="804">
      <c r="A804" s="6" t="str">
        <f>'02-variable-info'!A804</f>
        <v>04-16-wdraw-support.csv</v>
      </c>
      <c r="B804" s="6" t="str">
        <f>'02-variable-info'!B804</f>
        <v>wdrawSupportBrainBloodFlowScan</v>
      </c>
      <c r="C804" s="6" t="str">
        <f>'02-variable-info'!M804</f>
        <v>bool</v>
      </c>
      <c r="D804" s="6" t="str">
        <f>'02-variable-info'!H804</f>
        <v>boolean</v>
      </c>
    </row>
    <row r="805">
      <c r="A805" s="6" t="str">
        <f>'02-variable-info'!A805</f>
        <v>04-16-wdraw-support.csv</v>
      </c>
      <c r="B805" s="6" t="str">
        <f>'02-variable-info'!B805</f>
        <v>wdrawSupportParentWish</v>
      </c>
      <c r="C805" s="6" t="str">
        <f>'02-variable-info'!M805</f>
        <v>bool</v>
      </c>
      <c r="D805" s="6" t="str">
        <f>'02-variable-info'!H805</f>
        <v>boolean</v>
      </c>
    </row>
    <row r="806">
      <c r="A806" s="6" t="str">
        <f>'02-variable-info'!A806</f>
        <v>04-16-wdraw-support.csv</v>
      </c>
      <c r="B806" s="6" t="str">
        <f>'02-variable-info'!B806</f>
        <v>wdrawSupportOther</v>
      </c>
      <c r="C806" s="6" t="str">
        <f>'02-variable-info'!M806</f>
        <v>bool</v>
      </c>
      <c r="D806" s="6" t="str">
        <f>'02-variable-info'!H806</f>
        <v>boolean</v>
      </c>
    </row>
    <row r="807">
      <c r="A807" s="6" t="str">
        <f>'02-variable-info'!A807</f>
        <v>04-16-wdraw-support.csv</v>
      </c>
      <c r="B807" s="6" t="str">
        <f>'02-variable-info'!B807</f>
        <v>wdrawSupportOtherText</v>
      </c>
      <c r="C807" s="6" t="str">
        <f>'02-variable-info'!M807</f>
        <v>text</v>
      </c>
      <c r="D807" s="6" t="str">
        <f>'02-variable-info'!H807</f>
        <v>text</v>
      </c>
    </row>
    <row r="808">
      <c r="A808" s="6" t="str">
        <f>'02-variable-info'!A808</f>
        <v>04-17-limit-care.csv</v>
      </c>
      <c r="B808" s="6" t="str">
        <f>'02-variable-info'!B808</f>
        <v>limitCareDiscussedWithFamily</v>
      </c>
      <c r="C808" s="6" t="str">
        <f>'02-variable-info'!M808</f>
        <v>bool</v>
      </c>
      <c r="D808" s="6" t="str">
        <f>'02-variable-info'!H808</f>
        <v>boolean</v>
      </c>
    </row>
    <row r="809">
      <c r="A809" s="6" t="str">
        <f>'02-variable-info'!A809</f>
        <v>04-17-limit-care.csv</v>
      </c>
      <c r="B809" s="6" t="str">
        <f>'02-variable-info'!B809</f>
        <v>limitCareRecommendSolelyByClinicalTeam</v>
      </c>
      <c r="C809" s="6" t="str">
        <f>'02-variable-info'!M809</f>
        <v>bool</v>
      </c>
      <c r="D809" s="6" t="str">
        <f>'02-variable-info'!H809</f>
        <v>boolean</v>
      </c>
    </row>
    <row r="810">
      <c r="A810" s="6" t="str">
        <f>'02-variable-info'!A810</f>
        <v>04-17-limit-care.csv</v>
      </c>
      <c r="B810" s="6" t="str">
        <f>'02-variable-info'!B810</f>
        <v>limitCareAgreedByFamilyAndCareTeam</v>
      </c>
      <c r="C810" s="6" t="str">
        <f>'02-variable-info'!M810</f>
        <v>bool</v>
      </c>
      <c r="D810" s="6" t="str">
        <f>'02-variable-info'!H810</f>
        <v>boolean</v>
      </c>
    </row>
    <row r="811">
      <c r="A811" s="6" t="str">
        <f>'02-variable-info'!A811</f>
        <v>04-17-limit-care.csv</v>
      </c>
      <c r="B811" s="6" t="str">
        <f>'02-variable-info'!B811</f>
        <v>limitCareNoFurtherMechanicalVentilationAndIntubation</v>
      </c>
      <c r="C811" s="6" t="str">
        <f>'02-variable-info'!M811</f>
        <v>bool</v>
      </c>
      <c r="D811" s="6" t="str">
        <f>'02-variable-info'!H811</f>
        <v>boolean</v>
      </c>
    </row>
    <row r="812">
      <c r="A812" s="6" t="str">
        <f>'02-variable-info'!A812</f>
        <v>04-17-limit-care.csv</v>
      </c>
      <c r="B812" s="6" t="str">
        <f>'02-variable-info'!B812</f>
        <v>limitCareNoFurtherVentilationWithBagAndMask</v>
      </c>
      <c r="C812" s="6" t="str">
        <f>'02-variable-info'!M812</f>
        <v>bool</v>
      </c>
      <c r="D812" s="6" t="str">
        <f>'02-variable-info'!H812</f>
        <v>boolean</v>
      </c>
    </row>
    <row r="813">
      <c r="A813" s="6" t="str">
        <f>'02-variable-info'!A813</f>
        <v>04-17-limit-care.csv</v>
      </c>
      <c r="B813" s="6" t="str">
        <f>'02-variable-info'!B813</f>
        <v>limitCareNoFurtherMedicationsToSupportBP</v>
      </c>
      <c r="C813" s="6" t="str">
        <f>'02-variable-info'!M813</f>
        <v>bool</v>
      </c>
      <c r="D813" s="6" t="str">
        <f>'02-variable-info'!H813</f>
        <v>boolean</v>
      </c>
    </row>
    <row r="814">
      <c r="A814" s="6" t="str">
        <f>'02-variable-info'!A814</f>
        <v>04-17-limit-care.csv</v>
      </c>
      <c r="B814" s="6" t="str">
        <f>'02-variable-info'!B814</f>
        <v>limitCareNoFurtherChestCompression</v>
      </c>
      <c r="C814" s="6" t="str">
        <f>'02-variable-info'!M814</f>
        <v>bool</v>
      </c>
      <c r="D814" s="6" t="str">
        <f>'02-variable-info'!H814</f>
        <v>boolean</v>
      </c>
    </row>
    <row r="815">
      <c r="A815" s="6" t="str">
        <f>'02-variable-info'!A815</f>
        <v>04-17-limit-care.csv</v>
      </c>
      <c r="B815" s="6" t="str">
        <f>'02-variable-info'!B815</f>
        <v>limitCareNoFurtherEmergencyMedication</v>
      </c>
      <c r="C815" s="6" t="str">
        <f>'02-variable-info'!M815</f>
        <v>bool</v>
      </c>
      <c r="D815" s="6" t="str">
        <f>'02-variable-info'!H815</f>
        <v>boolean</v>
      </c>
    </row>
    <row r="816">
      <c r="A816" s="6" t="str">
        <f>'02-variable-info'!A816</f>
        <v>04-17-limit-care.csv</v>
      </c>
      <c r="B816" s="6" t="str">
        <f>'02-variable-info'!B816</f>
        <v>limitCareDNR</v>
      </c>
      <c r="C816" s="6" t="str">
        <f>'02-variable-info'!M816</f>
        <v>bool</v>
      </c>
      <c r="D816" s="6" t="str">
        <f>'02-variable-info'!H816</f>
        <v>boolean</v>
      </c>
    </row>
    <row r="817">
      <c r="A817" s="6" t="str">
        <f>'02-variable-info'!A817</f>
        <v>04-17-limit-care.csv</v>
      </c>
      <c r="B817" s="6" t="str">
        <f>'02-variable-info'!B817</f>
        <v>limitCareDNRDate</v>
      </c>
      <c r="C817" s="6" t="str">
        <f>'02-variable-info'!M817</f>
        <v>date</v>
      </c>
      <c r="D817" s="6" t="str">
        <f>'02-variable-info'!H817</f>
        <v>date</v>
      </c>
    </row>
    <row r="818">
      <c r="A818" s="6" t="str">
        <f>'02-variable-info'!A818</f>
        <v>04-17-limit-care.csv</v>
      </c>
      <c r="B818" s="6" t="str">
        <f>'02-variable-info'!B818</f>
        <v>limitCareDNRTime</v>
      </c>
      <c r="C818" s="6" t="str">
        <f>'02-variable-info'!M818</f>
        <v>time</v>
      </c>
      <c r="D818" s="6" t="str">
        <f>'02-variable-info'!H818</f>
        <v>time</v>
      </c>
    </row>
    <row r="819">
      <c r="A819" s="6" t="str">
        <f>'02-variable-info'!A819</f>
        <v>20-01-ses.csv</v>
      </c>
      <c r="B819" s="6" t="str">
        <f>'02-variable-info'!B819</f>
        <v>SESVisitDate</v>
      </c>
      <c r="C819" s="6" t="str">
        <f>'02-variable-info'!M819</f>
        <v>date</v>
      </c>
      <c r="D819" s="6" t="str">
        <f>'02-variable-info'!H819</f>
        <v>date</v>
      </c>
    </row>
    <row r="820">
      <c r="A820" s="6" t="str">
        <f>'02-variable-info'!A820</f>
        <v>20-01-ses.csv</v>
      </c>
      <c r="B820" s="6" t="str">
        <f>'02-variable-info'!B820</f>
        <v>SESBirthDate</v>
      </c>
      <c r="C820" s="6" t="str">
        <f>'02-variable-info'!M820</f>
        <v>date</v>
      </c>
      <c r="D820" s="6" t="str">
        <f>'02-variable-info'!H820</f>
        <v>date</v>
      </c>
    </row>
    <row r="821">
      <c r="A821" s="6" t="str">
        <f>'02-variable-info'!A821</f>
        <v>20-01-ses.csv</v>
      </c>
      <c r="B821" s="6" t="str">
        <f>'02-variable-info'!B821</f>
        <v>chronologicalAge_mo</v>
      </c>
      <c r="C821" s="6" t="str">
        <f>'02-variable-info'!M821</f>
        <v>int</v>
      </c>
      <c r="D821" s="6" t="str">
        <f>'02-variable-info'!H821</f>
        <v>number</v>
      </c>
    </row>
    <row r="822">
      <c r="A822" s="6" t="str">
        <f>'02-variable-info'!A822</f>
        <v>20-01-ses.csv</v>
      </c>
      <c r="B822" s="6" t="str">
        <f>'02-variable-info'!B822</f>
        <v>correctedAge_mo</v>
      </c>
      <c r="C822" s="6" t="str">
        <f>'02-variable-info'!M822</f>
        <v>int</v>
      </c>
      <c r="D822" s="6" t="str">
        <f>'02-variable-info'!H822</f>
        <v>number</v>
      </c>
    </row>
    <row r="823">
      <c r="A823" s="6" t="str">
        <f>'02-variable-info'!A823</f>
        <v>20-01-ses.csv</v>
      </c>
      <c r="B823" s="6" t="str">
        <f>'02-variable-info'!B823</f>
        <v>underStateSupervision</v>
      </c>
      <c r="C823" s="6" t="str">
        <f>'02-variable-info'!M823</f>
        <v>bool</v>
      </c>
      <c r="D823" s="6" t="str">
        <f>'02-variable-info'!H823</f>
        <v>boolean</v>
      </c>
    </row>
    <row r="824">
      <c r="A824" s="6" t="str">
        <f>'02-variable-info'!A824</f>
        <v>20-01-ses.csv</v>
      </c>
      <c r="B824" s="6" t="str">
        <f>'02-variable-info'!B824</f>
        <v>primaryCaretaker</v>
      </c>
      <c r="C824" s="6" t="str">
        <f>'02-variable-info'!M824</f>
        <v>relationship</v>
      </c>
      <c r="D824" s="6" t="str">
        <f>'02-variable-info'!H824</f>
        <v>nomial</v>
      </c>
    </row>
    <row r="825">
      <c r="A825" s="6" t="str">
        <f>'02-variable-info'!A825</f>
        <v>20-01-ses.csv</v>
      </c>
      <c r="B825" s="6" t="str">
        <f>'02-variable-info'!B825</f>
        <v>otherCaretaker</v>
      </c>
      <c r="C825" s="6" t="str">
        <f>'02-variable-info'!M825</f>
        <v>relationship</v>
      </c>
      <c r="D825" s="6" t="str">
        <f>'02-variable-info'!H825</f>
        <v>nomial</v>
      </c>
    </row>
    <row r="826">
      <c r="A826" s="6" t="str">
        <f>'02-variable-info'!A826</f>
        <v>20-01-ses.csv</v>
      </c>
      <c r="B826" s="6" t="str">
        <f>'02-variable-info'!B826</f>
        <v>maritalStatusPrimaryCaretaker</v>
      </c>
      <c r="C826" s="6" t="str">
        <f>'02-variable-info'!M826</f>
        <v>maritalStatus</v>
      </c>
      <c r="D826" s="6" t="str">
        <f>'02-variable-info'!H826</f>
        <v>nomial</v>
      </c>
    </row>
    <row r="827">
      <c r="A827" s="6" t="str">
        <f>'02-variable-info'!A827</f>
        <v>20-01-ses.csv</v>
      </c>
      <c r="B827" s="6" t="str">
        <f>'02-variable-info'!B827</f>
        <v>livingArrangementChild</v>
      </c>
      <c r="C827" s="6" t="str">
        <f>'02-variable-info'!M827</f>
        <v>livingArrange</v>
      </c>
      <c r="D827" s="6" t="str">
        <f>'02-variable-info'!H827</f>
        <v>nomial</v>
      </c>
    </row>
    <row r="828">
      <c r="A828" s="6" t="str">
        <f>'02-variable-info'!A828</f>
        <v>20-01-ses.csv</v>
      </c>
      <c r="B828" s="6" t="str">
        <f>'02-variable-info'!B828</f>
        <v>numberPeopleInChildHousehold</v>
      </c>
      <c r="C828" s="6" t="str">
        <f>'02-variable-info'!M828</f>
        <v>int</v>
      </c>
      <c r="D828" s="6" t="str">
        <f>'02-variable-info'!H828</f>
        <v>number</v>
      </c>
    </row>
    <row r="829">
      <c r="A829" s="6" t="str">
        <f>'02-variable-info'!A829</f>
        <v>20-01-ses.csv</v>
      </c>
      <c r="B829" s="6" t="str">
        <f>'02-variable-info'!B829</f>
        <v>otherContributeMoneyToChildHousehold</v>
      </c>
      <c r="C829" s="6" t="str">
        <f>'02-variable-info'!M829</f>
        <v>bool</v>
      </c>
      <c r="D829" s="6" t="str">
        <f>'02-variable-info'!H829</f>
        <v>boolean</v>
      </c>
    </row>
    <row r="830">
      <c r="A830" s="6" t="str">
        <f>'02-variable-info'!A830</f>
        <v>20-01-ses.csv</v>
      </c>
      <c r="B830" s="6" t="str">
        <f>'02-variable-info'!B830</f>
        <v>educationPrimaryCaretaker</v>
      </c>
      <c r="C830" s="6" t="str">
        <f>'02-variable-info'!M830</f>
        <v>education</v>
      </c>
      <c r="D830" s="6" t="str">
        <f>'02-variable-info'!H830</f>
        <v>ordinal</v>
      </c>
    </row>
    <row r="831">
      <c r="A831" s="6" t="str">
        <f>'02-variable-info'!A831</f>
        <v>20-01-ses.csv</v>
      </c>
      <c r="B831" s="6" t="str">
        <f>'02-variable-info'!B831</f>
        <v>educationOtherCaretaker</v>
      </c>
      <c r="C831" s="6" t="str">
        <f>'02-variable-info'!M831</f>
        <v>education</v>
      </c>
      <c r="D831" s="6" t="str">
        <f>'02-variable-info'!H831</f>
        <v>ordinal</v>
      </c>
    </row>
    <row r="832">
      <c r="A832" s="6" t="str">
        <f>'02-variable-info'!A832</f>
        <v>20-01-ses.csv</v>
      </c>
      <c r="B832" s="6" t="str">
        <f>'02-variable-info'!B832</f>
        <v>workPrimaryCaretaker</v>
      </c>
      <c r="C832" s="6" t="str">
        <f>'02-variable-info'!M832</f>
        <v>bool</v>
      </c>
      <c r="D832" s="6" t="str">
        <f>'02-variable-info'!H832</f>
        <v>boolean</v>
      </c>
    </row>
    <row r="833">
      <c r="A833" s="6" t="str">
        <f>'02-variable-info'!A833</f>
        <v>20-01-ses.csv</v>
      </c>
      <c r="B833" s="6" t="str">
        <f>'02-variable-info'!B833</f>
        <v>workOtherCaretaker</v>
      </c>
      <c r="C833" s="6" t="str">
        <f>'02-variable-info'!M833</f>
        <v>bool</v>
      </c>
      <c r="D833" s="6" t="str">
        <f>'02-variable-info'!H833</f>
        <v>boolean</v>
      </c>
    </row>
    <row r="834">
      <c r="A834" s="6" t="str">
        <f>'02-variable-info'!A834</f>
        <v>20-01-ses.csv</v>
      </c>
      <c r="B834" s="6" t="str">
        <f>'02-variable-info'!B834</f>
        <v>inSchoolPrimaryCaretaker</v>
      </c>
      <c r="C834" s="6" t="str">
        <f>'02-variable-info'!M834</f>
        <v>bool</v>
      </c>
      <c r="D834" s="6" t="str">
        <f>'02-variable-info'!H834</f>
        <v>boolean</v>
      </c>
    </row>
    <row r="835">
      <c r="A835" s="6" t="str">
        <f>'02-variable-info'!A835</f>
        <v>20-01-ses.csv</v>
      </c>
      <c r="B835" s="6" t="str">
        <f>'02-variable-info'!B835</f>
        <v>inSchoolOtherCaretaker</v>
      </c>
      <c r="C835" s="6" t="str">
        <f>'02-variable-info'!M835</f>
        <v>bool</v>
      </c>
      <c r="D835" s="6" t="str">
        <f>'02-variable-info'!H835</f>
        <v>boolean</v>
      </c>
    </row>
    <row r="836">
      <c r="A836" s="6" t="str">
        <f>'02-variable-info'!A836</f>
        <v>20-01-ses.csv</v>
      </c>
      <c r="B836" s="6" t="str">
        <f>'02-variable-info'!B836</f>
        <v>totalIncomeChildHousehold</v>
      </c>
      <c r="C836" s="6" t="str">
        <f>'02-variable-info'!M836</f>
        <v>totalIncome</v>
      </c>
      <c r="D836" s="6" t="str">
        <f>'02-variable-info'!H836</f>
        <v>ordinal</v>
      </c>
    </row>
    <row r="837">
      <c r="A837" s="6" t="str">
        <f>'02-variable-info'!A837</f>
        <v>20-01-ses.csv</v>
      </c>
      <c r="B837" s="6" t="str">
        <f>'02-variable-info'!B837</f>
        <v>medicalInsuranceChild</v>
      </c>
      <c r="C837" s="6" t="str">
        <f>'02-variable-info'!M837</f>
        <v>insurance</v>
      </c>
      <c r="D837" s="6" t="str">
        <f>'02-variable-info'!H837</f>
        <v>ordinal</v>
      </c>
    </row>
    <row r="838">
      <c r="A838" s="6" t="str">
        <f>'02-variable-info'!A838</f>
        <v>20-01-ses.csv</v>
      </c>
      <c r="B838" s="6" t="str">
        <f>'02-variable-info'!B838</f>
        <v>primaryLanguageChild</v>
      </c>
      <c r="C838" s="6" t="str">
        <f>'02-variable-info'!M838</f>
        <v>language</v>
      </c>
      <c r="D838" s="6" t="str">
        <f>'02-variable-info'!H838</f>
        <v>nomial</v>
      </c>
    </row>
    <row r="839">
      <c r="A839" s="6" t="str">
        <f>'02-variable-info'!A839</f>
        <v>20-01-ses.csv</v>
      </c>
      <c r="B839" s="6" t="str">
        <f>'02-variable-info'!B839</f>
        <v>primaryLanguageChildOtherText</v>
      </c>
      <c r="C839" s="6" t="str">
        <f>'02-variable-info'!M839</f>
        <v>text</v>
      </c>
      <c r="D839" s="6" t="str">
        <f>'02-variable-info'!H839</f>
        <v>text</v>
      </c>
    </row>
    <row r="840">
      <c r="A840" s="6" t="str">
        <f>'02-variable-info'!A840</f>
        <v>20-01-ses.csv</v>
      </c>
      <c r="B840" s="6" t="str">
        <f>'02-variable-info'!B840</f>
        <v>isSecondaryLanguageChild</v>
      </c>
      <c r="C840" s="6" t="str">
        <f>'02-variable-info'!M840</f>
        <v>bool</v>
      </c>
      <c r="D840" s="6" t="str">
        <f>'02-variable-info'!H840</f>
        <v>boolean</v>
      </c>
    </row>
    <row r="841">
      <c r="A841" s="6" t="str">
        <f>'02-variable-info'!A841</f>
        <v>20-01-ses.csv</v>
      </c>
      <c r="B841" s="6" t="str">
        <f>'02-variable-info'!B841</f>
        <v>secondaryLanguageChild</v>
      </c>
      <c r="C841" s="6" t="str">
        <f>'02-variable-info'!M841</f>
        <v>language</v>
      </c>
      <c r="D841" s="6" t="str">
        <f>'02-variable-info'!H841</f>
        <v>nomial</v>
      </c>
    </row>
    <row r="842">
      <c r="A842" s="6" t="str">
        <f>'02-variable-info'!A842</f>
        <v>20-01-ses.csv</v>
      </c>
      <c r="B842" s="6" t="str">
        <f>'02-variable-info'!B842</f>
        <v>secondaryLanguageChildOtherText</v>
      </c>
      <c r="C842" s="6" t="str">
        <f>'02-variable-info'!M842</f>
        <v>text</v>
      </c>
      <c r="D842" s="6" t="str">
        <f>'02-variable-info'!H842</f>
        <v>text</v>
      </c>
    </row>
    <row r="843">
      <c r="A843" s="6" t="str">
        <f>'02-variable-info'!A843</f>
        <v>20-01-ses.csv</v>
      </c>
      <c r="B843" s="6" t="str">
        <f>'02-variable-info'!B843</f>
        <v>numberPlaceChildLive</v>
      </c>
      <c r="C843" s="6" t="str">
        <f>'02-variable-info'!M843</f>
        <v>int</v>
      </c>
      <c r="D843" s="6" t="str">
        <f>'02-variable-info'!H843</f>
        <v>number</v>
      </c>
    </row>
    <row r="844">
      <c r="A844" s="6" t="str">
        <f>'02-variable-info'!A844</f>
        <v>20-01-ses.csv</v>
      </c>
      <c r="B844" s="6" t="str">
        <f>'02-variable-info'!B844</f>
        <v>zipcode</v>
      </c>
      <c r="C844" s="6" t="str">
        <f>'02-variable-info'!M844</f>
        <v>int</v>
      </c>
      <c r="D844" s="6" t="str">
        <f>'02-variable-info'!H844</f>
        <v>number</v>
      </c>
    </row>
    <row r="845">
      <c r="A845" s="6" t="str">
        <f>'02-variable-info'!A845</f>
        <v>20-01-ses.csv</v>
      </c>
      <c r="B845" s="6" t="str">
        <f>'02-variable-info'!B845</f>
        <v>visitingNurseReceive</v>
      </c>
      <c r="C845" s="6" t="str">
        <f>'02-variable-info'!M845</f>
        <v>receive</v>
      </c>
      <c r="D845" s="6" t="str">
        <f>'02-variable-info'!H845</f>
        <v>ordinal</v>
      </c>
    </row>
    <row r="846">
      <c r="A846" s="6" t="str">
        <f>'02-variable-info'!A846</f>
        <v>20-01-ses.csv</v>
      </c>
      <c r="B846" s="6" t="str">
        <f>'02-variable-info'!B846</f>
        <v>visitingNurseNeed</v>
      </c>
      <c r="C846" s="6" t="str">
        <f>'02-variable-info'!M846</f>
        <v>bool</v>
      </c>
      <c r="D846" s="6" t="str">
        <f>'02-variable-info'!H846</f>
        <v>boolean</v>
      </c>
    </row>
    <row r="847">
      <c r="A847" s="6" t="str">
        <f>'02-variable-info'!A847</f>
        <v>20-01-ses.csv</v>
      </c>
      <c r="B847" s="6" t="str">
        <f>'02-variable-info'!B847</f>
        <v>homeNurseReceive</v>
      </c>
      <c r="C847" s="6" t="str">
        <f>'02-variable-info'!M847</f>
        <v>receive</v>
      </c>
      <c r="D847" s="6" t="str">
        <f>'02-variable-info'!H847</f>
        <v>ordinal</v>
      </c>
    </row>
    <row r="848">
      <c r="A848" s="6" t="str">
        <f>'02-variable-info'!A848</f>
        <v>20-01-ses.csv</v>
      </c>
      <c r="B848" s="6" t="str">
        <f>'02-variable-info'!B848</f>
        <v>homeNurseNeed</v>
      </c>
      <c r="C848" s="6" t="str">
        <f>'02-variable-info'!M848</f>
        <v>bool</v>
      </c>
      <c r="D848" s="6" t="str">
        <f>'02-variable-info'!H848</f>
        <v>boolean</v>
      </c>
    </row>
    <row r="849">
      <c r="A849" s="6" t="str">
        <f>'02-variable-info'!A849</f>
        <v>20-01-ses.csv</v>
      </c>
      <c r="B849" s="6" t="str">
        <f>'02-variable-info'!B849</f>
        <v>otPtReceive</v>
      </c>
      <c r="C849" s="6" t="str">
        <f>'02-variable-info'!M849</f>
        <v>receive</v>
      </c>
      <c r="D849" s="6" t="str">
        <f>'02-variable-info'!H849</f>
        <v>ordinal</v>
      </c>
    </row>
    <row r="850">
      <c r="A850" s="6" t="str">
        <f>'02-variable-info'!A850</f>
        <v>20-01-ses.csv</v>
      </c>
      <c r="B850" s="6" t="str">
        <f>'02-variable-info'!B850</f>
        <v>otPtNeed</v>
      </c>
      <c r="C850" s="6" t="str">
        <f>'02-variable-info'!M850</f>
        <v>bool</v>
      </c>
      <c r="D850" s="6" t="str">
        <f>'02-variable-info'!H850</f>
        <v>boolean</v>
      </c>
    </row>
    <row r="851">
      <c r="A851" s="6" t="str">
        <f>'02-variable-info'!A851</f>
        <v>20-01-ses.csv</v>
      </c>
      <c r="B851" s="6" t="str">
        <f>'02-variable-info'!B851</f>
        <v>speechTherapyReceive</v>
      </c>
      <c r="C851" s="6" t="str">
        <f>'02-variable-info'!M851</f>
        <v>receive</v>
      </c>
      <c r="D851" s="6" t="str">
        <f>'02-variable-info'!H851</f>
        <v>ordinal</v>
      </c>
    </row>
    <row r="852">
      <c r="A852" s="6" t="str">
        <f>'02-variable-info'!A852</f>
        <v>20-01-ses.csv</v>
      </c>
      <c r="B852" s="6" t="str">
        <f>'02-variable-info'!B852</f>
        <v>speechTherapyNeed</v>
      </c>
      <c r="C852" s="6" t="str">
        <f>'02-variable-info'!M852</f>
        <v>bool</v>
      </c>
      <c r="D852" s="6" t="str">
        <f>'02-variable-info'!H852</f>
        <v>boolean</v>
      </c>
    </row>
    <row r="853">
      <c r="A853" s="6" t="str">
        <f>'02-variable-info'!A853</f>
        <v>20-01-ses.csv</v>
      </c>
      <c r="B853" s="6" t="str">
        <f>'02-variable-info'!B853</f>
        <v>earlyInterventionReceive</v>
      </c>
      <c r="C853" s="6" t="str">
        <f>'02-variable-info'!M853</f>
        <v>receive</v>
      </c>
      <c r="D853" s="6" t="str">
        <f>'02-variable-info'!H853</f>
        <v>ordinal</v>
      </c>
    </row>
    <row r="854">
      <c r="A854" s="6" t="str">
        <f>'02-variable-info'!A854</f>
        <v>20-01-ses.csv</v>
      </c>
      <c r="B854" s="6" t="str">
        <f>'02-variable-info'!B854</f>
        <v>earlyInterventionNeed</v>
      </c>
      <c r="C854" s="6" t="str">
        <f>'02-variable-info'!M854</f>
        <v>bool</v>
      </c>
      <c r="D854" s="6" t="str">
        <f>'02-variable-info'!H854</f>
        <v>boolean</v>
      </c>
    </row>
    <row r="855">
      <c r="A855" s="6" t="str">
        <f>'02-variable-info'!A855</f>
        <v>20-01-ses.csv</v>
      </c>
      <c r="B855" s="6" t="str">
        <f>'02-variable-info'!B855</f>
        <v>socialWorkForChildReceive</v>
      </c>
      <c r="C855" s="6" t="str">
        <f>'02-variable-info'!M855</f>
        <v>receive</v>
      </c>
      <c r="D855" s="6" t="str">
        <f>'02-variable-info'!H855</f>
        <v>ordinal</v>
      </c>
    </row>
    <row r="856">
      <c r="A856" s="6" t="str">
        <f>'02-variable-info'!A856</f>
        <v>20-01-ses.csv</v>
      </c>
      <c r="B856" s="6" t="str">
        <f>'02-variable-info'!B856</f>
        <v>socialWorkForChildNeed</v>
      </c>
      <c r="C856" s="6" t="str">
        <f>'02-variable-info'!M856</f>
        <v>bool</v>
      </c>
      <c r="D856" s="6" t="str">
        <f>'02-variable-info'!H856</f>
        <v>boolean</v>
      </c>
    </row>
    <row r="857">
      <c r="A857" s="6" t="str">
        <f>'02-variable-info'!A857</f>
        <v>20-01-ses.csv</v>
      </c>
      <c r="B857" s="6" t="str">
        <f>'02-variable-info'!B857</f>
        <v>specialClinicReceive</v>
      </c>
      <c r="C857" s="6" t="str">
        <f>'02-variable-info'!M857</f>
        <v>receive</v>
      </c>
      <c r="D857" s="6" t="str">
        <f>'02-variable-info'!H857</f>
        <v>ordinal</v>
      </c>
    </row>
    <row r="858">
      <c r="A858" s="6" t="str">
        <f>'02-variable-info'!A858</f>
        <v>20-01-ses.csv</v>
      </c>
      <c r="B858" s="6" t="str">
        <f>'02-variable-info'!B858</f>
        <v>specialClinicNeed</v>
      </c>
      <c r="C858" s="6" t="str">
        <f>'02-variable-info'!M858</f>
        <v>bool</v>
      </c>
      <c r="D858" s="6" t="str">
        <f>'02-variable-info'!H858</f>
        <v>boolean</v>
      </c>
    </row>
    <row r="859">
      <c r="A859" s="6" t="str">
        <f>'02-variable-info'!A859</f>
        <v>20-01-ses.csv</v>
      </c>
      <c r="B859" s="6" t="str">
        <f>'02-variable-info'!B859</f>
        <v>pulmonaryReceive</v>
      </c>
      <c r="C859" s="6" t="str">
        <f>'02-variable-info'!M859</f>
        <v>receive</v>
      </c>
      <c r="D859" s="6" t="str">
        <f>'02-variable-info'!H859</f>
        <v>ordinal</v>
      </c>
    </row>
    <row r="860">
      <c r="A860" s="6" t="str">
        <f>'02-variable-info'!A860</f>
        <v>20-01-ses.csv</v>
      </c>
      <c r="B860" s="6" t="str">
        <f>'02-variable-info'!B860</f>
        <v>pulmonaryNeed</v>
      </c>
      <c r="C860" s="6" t="str">
        <f>'02-variable-info'!M860</f>
        <v>bool</v>
      </c>
      <c r="D860" s="6" t="str">
        <f>'02-variable-info'!H860</f>
        <v>boolean</v>
      </c>
    </row>
    <row r="861">
      <c r="A861" s="6" t="str">
        <f>'02-variable-info'!A861</f>
        <v>20-01-ses.csv</v>
      </c>
      <c r="B861" s="6" t="str">
        <f>'02-variable-info'!B861</f>
        <v>ophthalmologicReceive</v>
      </c>
      <c r="C861" s="6" t="str">
        <f>'02-variable-info'!M861</f>
        <v>receive</v>
      </c>
      <c r="D861" s="6" t="str">
        <f>'02-variable-info'!H861</f>
        <v>ordinal</v>
      </c>
    </row>
    <row r="862">
      <c r="A862" s="6" t="str">
        <f>'02-variable-info'!A862</f>
        <v>20-01-ses.csv</v>
      </c>
      <c r="B862" s="6" t="str">
        <f>'02-variable-info'!B862</f>
        <v>ophthalmologicNeed</v>
      </c>
      <c r="C862" s="6" t="str">
        <f>'02-variable-info'!M862</f>
        <v>bool</v>
      </c>
      <c r="D862" s="6" t="str">
        <f>'02-variable-info'!H862</f>
        <v>boolean</v>
      </c>
    </row>
    <row r="863">
      <c r="A863" s="6" t="str">
        <f>'02-variable-info'!A863</f>
        <v>20-01-ses.csv</v>
      </c>
      <c r="B863" s="6" t="str">
        <f>'02-variable-info'!B863</f>
        <v>gastrointestinalReceive</v>
      </c>
      <c r="C863" s="6" t="str">
        <f>'02-variable-info'!M863</f>
        <v>receive</v>
      </c>
      <c r="D863" s="6" t="str">
        <f>'02-variable-info'!H863</f>
        <v>ordinal</v>
      </c>
    </row>
    <row r="864">
      <c r="A864" s="6" t="str">
        <f>'02-variable-info'!A864</f>
        <v>20-01-ses.csv</v>
      </c>
      <c r="B864" s="6" t="str">
        <f>'02-variable-info'!B864</f>
        <v>gastrointestinalNeed</v>
      </c>
      <c r="C864" s="6" t="str">
        <f>'02-variable-info'!M864</f>
        <v>bool</v>
      </c>
      <c r="D864" s="6" t="str">
        <f>'02-variable-info'!H864</f>
        <v>boolean</v>
      </c>
    </row>
    <row r="865">
      <c r="A865" s="6" t="str">
        <f>'02-variable-info'!A865</f>
        <v>20-01-ses.csv</v>
      </c>
      <c r="B865" s="6" t="str">
        <f>'02-variable-info'!B865</f>
        <v>audiologicReceive</v>
      </c>
      <c r="C865" s="6" t="str">
        <f>'02-variable-info'!M865</f>
        <v>receive</v>
      </c>
      <c r="D865" s="6" t="str">
        <f>'02-variable-info'!H865</f>
        <v>ordinal</v>
      </c>
    </row>
    <row r="866">
      <c r="A866" s="6" t="str">
        <f>'02-variable-info'!A866</f>
        <v>20-01-ses.csv</v>
      </c>
      <c r="B866" s="6" t="str">
        <f>'02-variable-info'!B866</f>
        <v>audiologicNeed</v>
      </c>
      <c r="C866" s="6" t="str">
        <f>'02-variable-info'!M866</f>
        <v>bool</v>
      </c>
      <c r="D866" s="6" t="str">
        <f>'02-variable-info'!H866</f>
        <v>boolean</v>
      </c>
    </row>
    <row r="867">
      <c r="A867" s="6" t="str">
        <f>'02-variable-info'!A867</f>
        <v>20-01-ses.csv</v>
      </c>
      <c r="B867" s="6" t="str">
        <f>'02-variable-info'!B867</f>
        <v>neurologicReceive</v>
      </c>
      <c r="C867" s="6" t="str">
        <f>'02-variable-info'!M867</f>
        <v>receive</v>
      </c>
      <c r="D867" s="6" t="str">
        <f>'02-variable-info'!H867</f>
        <v>ordinal</v>
      </c>
    </row>
    <row r="868">
      <c r="A868" s="6" t="str">
        <f>'02-variable-info'!A868</f>
        <v>20-01-ses.csv</v>
      </c>
      <c r="B868" s="6" t="str">
        <f>'02-variable-info'!B868</f>
        <v>neurologicNeed</v>
      </c>
      <c r="C868" s="6" t="str">
        <f>'02-variable-info'!M868</f>
        <v>bool</v>
      </c>
      <c r="D868" s="6" t="str">
        <f>'02-variable-info'!H868</f>
        <v>boolean</v>
      </c>
    </row>
    <row r="869">
      <c r="A869" s="6" t="str">
        <f>'02-variable-info'!A869</f>
        <v>20-01-ses.csv</v>
      </c>
      <c r="B869" s="6" t="str">
        <f>'02-variable-info'!B869</f>
        <v>otherReceive</v>
      </c>
      <c r="C869" s="6" t="str">
        <f>'02-variable-info'!M869</f>
        <v>receive</v>
      </c>
      <c r="D869" s="6" t="str">
        <f>'02-variable-info'!H869</f>
        <v>ordinal</v>
      </c>
    </row>
    <row r="870">
      <c r="A870" s="6" t="str">
        <f>'02-variable-info'!A870</f>
        <v>20-01-ses.csv</v>
      </c>
      <c r="B870" s="6" t="str">
        <f>'02-variable-info'!B870</f>
        <v>otherNeed</v>
      </c>
      <c r="C870" s="6" t="str">
        <f>'02-variable-info'!M870</f>
        <v>bool</v>
      </c>
      <c r="D870" s="6" t="str">
        <f>'02-variable-info'!H870</f>
        <v>boolean</v>
      </c>
    </row>
    <row r="871">
      <c r="A871" s="6" t="str">
        <f>'02-variable-info'!A871</f>
        <v>20-01-ses.csv</v>
      </c>
      <c r="B871" s="6" t="str">
        <f>'02-variable-info'!B871</f>
        <v>otherNeedText</v>
      </c>
      <c r="C871" s="6" t="str">
        <f>'02-variable-info'!M871</f>
        <v>text</v>
      </c>
      <c r="D871" s="6" t="str">
        <f>'02-variable-info'!H871</f>
        <v>text</v>
      </c>
    </row>
    <row r="872">
      <c r="A872" s="6" t="str">
        <f>'02-variable-info'!A872</f>
        <v>20-01-ses.csv</v>
      </c>
      <c r="B872" s="6" t="str">
        <f>'02-variable-info'!B872</f>
        <v>neurodevelopmentReceive</v>
      </c>
      <c r="C872" s="6" t="str">
        <f>'02-variable-info'!M872</f>
        <v>receive</v>
      </c>
      <c r="D872" s="6" t="str">
        <f>'02-variable-info'!H872</f>
        <v>ordinal</v>
      </c>
    </row>
    <row r="873">
      <c r="A873" s="6" t="str">
        <f>'02-variable-info'!A873</f>
        <v>20-01-ses.csv</v>
      </c>
      <c r="B873" s="6" t="str">
        <f>'02-variable-info'!B873</f>
        <v>neurodevelopmentNeed</v>
      </c>
      <c r="C873" s="6" t="str">
        <f>'02-variable-info'!M873</f>
        <v>bool</v>
      </c>
      <c r="D873" s="6" t="str">
        <f>'02-variable-info'!H873</f>
        <v>boolean</v>
      </c>
    </row>
    <row r="874">
      <c r="A874" s="6" t="str">
        <f>'02-variable-info'!A874</f>
        <v>20-01-ses.csv</v>
      </c>
      <c r="B874" s="6" t="str">
        <f>'02-variable-info'!B874</f>
        <v>prematureFollowupClinicReceive</v>
      </c>
      <c r="C874" s="6" t="str">
        <f>'02-variable-info'!M874</f>
        <v>receive</v>
      </c>
      <c r="D874" s="6" t="str">
        <f>'02-variable-info'!H874</f>
        <v>ordinal</v>
      </c>
    </row>
    <row r="875">
      <c r="A875" s="6" t="str">
        <f>'02-variable-info'!A875</f>
        <v>20-01-ses.csv</v>
      </c>
      <c r="B875" s="6" t="str">
        <f>'02-variable-info'!B875</f>
        <v>prematureFollowupClinicNeed</v>
      </c>
      <c r="C875" s="6" t="str">
        <f>'02-variable-info'!M875</f>
        <v>bool</v>
      </c>
      <c r="D875" s="6" t="str">
        <f>'02-variable-info'!H875</f>
        <v>boolean</v>
      </c>
    </row>
    <row r="876">
      <c r="A876" s="6" t="str">
        <f>'02-variable-info'!A876</f>
        <v>20-01-ses.csv</v>
      </c>
      <c r="B876" s="6" t="str">
        <f>'02-variable-info'!B876</f>
        <v>regularDoctor</v>
      </c>
      <c r="C876" s="6" t="str">
        <f>'02-variable-info'!M876</f>
        <v>bool</v>
      </c>
      <c r="D876" s="6" t="str">
        <f>'02-variable-info'!H876</f>
        <v>boolean</v>
      </c>
    </row>
    <row r="877">
      <c r="A877" s="6" t="str">
        <f>'02-variable-info'!A877</f>
        <v>20-01-ses.csv</v>
      </c>
      <c r="B877" s="6" t="str">
        <f>'02-variable-info'!B877</f>
        <v>resideChronicCareFacility</v>
      </c>
      <c r="C877" s="6" t="str">
        <f>'02-variable-info'!M877</f>
        <v>bool</v>
      </c>
      <c r="D877" s="6" t="str">
        <f>'02-variable-info'!H877</f>
        <v>boolean</v>
      </c>
    </row>
    <row r="878">
      <c r="A878" s="6" t="str">
        <f>'02-variable-info'!A878</f>
        <v>20-01-ses.csv</v>
      </c>
      <c r="B878" s="6" t="str">
        <f>'02-variable-info'!B878</f>
        <v>takenCareOfByOther</v>
      </c>
      <c r="C878" s="6" t="str">
        <f>'02-variable-info'!M878</f>
        <v>bool</v>
      </c>
      <c r="D878" s="6" t="str">
        <f>'02-variable-info'!H878</f>
        <v>boolean</v>
      </c>
    </row>
    <row r="879">
      <c r="A879" s="6" t="str">
        <f>'02-variable-info'!A879</f>
        <v>20-01-ses.csv</v>
      </c>
      <c r="B879" s="6" t="str">
        <f>'02-variable-info'!B879</f>
        <v>traditionalCenterCare</v>
      </c>
      <c r="C879" s="6" t="str">
        <f>'02-variable-info'!M879</f>
        <v>bool</v>
      </c>
      <c r="D879" s="6" t="str">
        <f>'02-variable-info'!H879</f>
        <v>boolean</v>
      </c>
    </row>
    <row r="880">
      <c r="A880" s="6" t="str">
        <f>'02-variable-info'!A880</f>
        <v>20-01-ses.csv</v>
      </c>
      <c r="B880" s="6" t="str">
        <f>'02-variable-info'!B880</f>
        <v>traditionalCenterCareAvgHrPerWeek</v>
      </c>
      <c r="C880" s="6" t="str">
        <f>'02-variable-info'!M880</f>
        <v>int</v>
      </c>
      <c r="D880" s="6" t="str">
        <f>'02-variable-info'!H880</f>
        <v>number</v>
      </c>
    </row>
    <row r="881">
      <c r="A881" s="6" t="str">
        <f>'02-variable-info'!A881</f>
        <v>20-01-ses.csv</v>
      </c>
      <c r="B881" s="6" t="str">
        <f>'02-variable-info'!B881</f>
        <v>medicalChildCare</v>
      </c>
      <c r="C881" s="6" t="str">
        <f>'02-variable-info'!M881</f>
        <v>bool</v>
      </c>
      <c r="D881" s="6" t="str">
        <f>'02-variable-info'!H881</f>
        <v>boolean</v>
      </c>
    </row>
    <row r="882">
      <c r="A882" s="6" t="str">
        <f>'02-variable-info'!A882</f>
        <v>20-01-ses.csv</v>
      </c>
      <c r="B882" s="6" t="str">
        <f>'02-variable-info'!B882</f>
        <v>medicalChildCareAvgHrPerWeek</v>
      </c>
      <c r="C882" s="6" t="str">
        <f>'02-variable-info'!M882</f>
        <v>int</v>
      </c>
      <c r="D882" s="6" t="str">
        <f>'02-variable-info'!H882</f>
        <v>number</v>
      </c>
    </row>
    <row r="883">
      <c r="A883" s="6" t="str">
        <f>'02-variable-info'!A883</f>
        <v>20-01-ses.csv</v>
      </c>
      <c r="B883" s="6" t="str">
        <f>'02-variable-info'!B883</f>
        <v>medicalChildCareWhere</v>
      </c>
      <c r="C883" s="6" t="str">
        <f>'02-variable-info'!M883</f>
        <v>homeCareLocation</v>
      </c>
      <c r="D883" s="6" t="str">
        <f>'02-variable-info'!H883</f>
        <v>nomial</v>
      </c>
    </row>
    <row r="884">
      <c r="A884" s="6" t="str">
        <f>'02-variable-info'!A884</f>
        <v>20-01-ses.csv</v>
      </c>
      <c r="B884" s="6" t="str">
        <f>'02-variable-info'!B884</f>
        <v>traditionalHomeCare</v>
      </c>
      <c r="C884" s="6" t="str">
        <f>'02-variable-info'!M884</f>
        <v>bool</v>
      </c>
      <c r="D884" s="6" t="str">
        <f>'02-variable-info'!H884</f>
        <v>boolean</v>
      </c>
    </row>
    <row r="885">
      <c r="A885" s="6" t="str">
        <f>'02-variable-info'!A885</f>
        <v>20-01-ses.csv</v>
      </c>
      <c r="B885" s="6" t="str">
        <f>'02-variable-info'!B885</f>
        <v>traditionalHomeCareAvgHrPerWeek</v>
      </c>
      <c r="C885" s="6" t="str">
        <f>'02-variable-info'!M885</f>
        <v>int</v>
      </c>
      <c r="D885" s="6" t="str">
        <f>'02-variable-info'!H885</f>
        <v>number</v>
      </c>
    </row>
    <row r="886">
      <c r="A886" s="6" t="str">
        <f>'02-variable-info'!A886</f>
        <v>20-01-ses.csv</v>
      </c>
      <c r="B886" s="6" t="str">
        <f>'02-variable-info'!B886</f>
        <v>traditionalHomeCareWhose</v>
      </c>
      <c r="C886" s="6" t="str">
        <f>'02-variable-info'!M886</f>
        <v>homeCareLocation</v>
      </c>
      <c r="D886" s="6" t="str">
        <f>'02-variable-info'!H886</f>
        <v>nomial</v>
      </c>
    </row>
    <row r="887">
      <c r="A887" s="6" t="str">
        <f>'02-variable-info'!A887</f>
        <v>20-01-ses.csv</v>
      </c>
      <c r="B887" s="6" t="str">
        <f>'02-variable-info'!B887</f>
        <v>babysitter</v>
      </c>
      <c r="C887" s="6" t="str">
        <f>'02-variable-info'!M887</f>
        <v>bool</v>
      </c>
      <c r="D887" s="6" t="str">
        <f>'02-variable-info'!H887</f>
        <v>boolean</v>
      </c>
    </row>
    <row r="888">
      <c r="A888" s="6" t="str">
        <f>'02-variable-info'!A888</f>
        <v>20-01-ses.csv</v>
      </c>
      <c r="B888" s="6" t="str">
        <f>'02-variable-info'!B888</f>
        <v>babysitterAvgHrPerWeek</v>
      </c>
      <c r="C888" s="6" t="str">
        <f>'02-variable-info'!M888</f>
        <v>int</v>
      </c>
      <c r="D888" s="6" t="str">
        <f>'02-variable-info'!H888</f>
        <v>number</v>
      </c>
    </row>
    <row r="889">
      <c r="A889" s="6" t="str">
        <f>'02-variable-info'!A889</f>
        <v>20-01-ses.csv</v>
      </c>
      <c r="B889" s="6" t="str">
        <f>'02-variable-info'!B889</f>
        <v>babysitterRelation</v>
      </c>
      <c r="C889" s="6" t="str">
        <f>'02-variable-info'!M889</f>
        <v>babysitterRelation</v>
      </c>
      <c r="D889" s="6" t="str">
        <f>'02-variable-info'!H889</f>
        <v>ordinal</v>
      </c>
    </row>
    <row r="890">
      <c r="A890" s="6" t="str">
        <f>'02-variable-info'!A890</f>
        <v>20-01-ses.csv</v>
      </c>
      <c r="B890" s="6" t="str">
        <f>'02-variable-info'!B890</f>
        <v>SESInterviewWhere</v>
      </c>
      <c r="C890" s="6" t="str">
        <f>'02-variable-info'!M890</f>
        <v>interviewLocation</v>
      </c>
      <c r="D890" s="6" t="str">
        <f>'02-variable-info'!H890</f>
        <v>nomial</v>
      </c>
    </row>
    <row r="891">
      <c r="A891" s="6" t="str">
        <f>'02-variable-info'!A891</f>
        <v>20-01-ses.csv</v>
      </c>
      <c r="B891" s="6" t="str">
        <f>'02-variable-info'!B891</f>
        <v>SESInterviewDate</v>
      </c>
      <c r="C891" s="6" t="str">
        <f>'02-variable-info'!M891</f>
        <v>date</v>
      </c>
      <c r="D891" s="6" t="str">
        <f>'02-variable-info'!H891</f>
        <v>date</v>
      </c>
    </row>
    <row r="892">
      <c r="A892" s="6" t="str">
        <f>'02-variable-info'!A892</f>
        <v>20-02-medical-history.csv</v>
      </c>
      <c r="B892" s="6" t="str">
        <f>'02-variable-info'!B892</f>
        <v>rehospitalize</v>
      </c>
      <c r="C892" s="6" t="str">
        <f>'02-variable-info'!M892</f>
        <v>bool</v>
      </c>
      <c r="D892" s="6" t="str">
        <f>'02-variable-info'!H892</f>
        <v>boolean</v>
      </c>
    </row>
    <row r="893">
      <c r="A893" s="6" t="str">
        <f>'02-variable-info'!A893</f>
        <v>20-02-medical-history.csv</v>
      </c>
      <c r="B893" s="6" t="str">
        <f>'02-variable-info'!B893</f>
        <v>numberRehospitalize</v>
      </c>
      <c r="C893" s="6" t="str">
        <f>'02-variable-info'!M893</f>
        <v>int</v>
      </c>
      <c r="D893" s="6" t="str">
        <f>'02-variable-info'!H893</f>
        <v>number</v>
      </c>
    </row>
    <row r="894">
      <c r="A894" s="6" t="str">
        <f>'02-variable-info'!A894</f>
        <v>20-02-medical-history.csv</v>
      </c>
      <c r="B894" s="6" t="str">
        <f>'02-variable-info'!B894</f>
        <v>operation</v>
      </c>
      <c r="C894" s="6" t="str">
        <f>'02-variable-info'!M894</f>
        <v>bool</v>
      </c>
      <c r="D894" s="6" t="str">
        <f>'02-variable-info'!H894</f>
        <v>boolean</v>
      </c>
    </row>
    <row r="895">
      <c r="A895" s="6" t="str">
        <f>'02-variable-info'!A895</f>
        <v>20-02-medical-history.csv</v>
      </c>
      <c r="B895" s="6" t="str">
        <f>'02-variable-info'!B895</f>
        <v>operationTypanostomyTube</v>
      </c>
      <c r="C895" s="6" t="str">
        <f>'02-variable-info'!M895</f>
        <v>bool</v>
      </c>
      <c r="D895" s="6" t="str">
        <f>'02-variable-info'!H895</f>
        <v>boolean</v>
      </c>
    </row>
    <row r="896">
      <c r="A896" s="6" t="str">
        <f>'02-variable-info'!A896</f>
        <v>20-02-medical-history.csv</v>
      </c>
      <c r="B896" s="6" t="str">
        <f>'02-variable-info'!B896</f>
        <v>operationTracheostomy</v>
      </c>
      <c r="C896" s="6" t="str">
        <f>'02-variable-info'!M896</f>
        <v>bool</v>
      </c>
      <c r="D896" s="6" t="str">
        <f>'02-variable-info'!H896</f>
        <v>boolean</v>
      </c>
    </row>
    <row r="897">
      <c r="A897" s="6" t="str">
        <f>'02-variable-info'!A897</f>
        <v>20-02-medical-history.csv</v>
      </c>
      <c r="B897" s="6" t="str">
        <f>'02-variable-info'!B897</f>
        <v>operationEyeSurgery</v>
      </c>
      <c r="C897" s="6" t="str">
        <f>'02-variable-info'!M897</f>
        <v>bool</v>
      </c>
      <c r="D897" s="6" t="str">
        <f>'02-variable-info'!H897</f>
        <v>boolean</v>
      </c>
    </row>
    <row r="898">
      <c r="A898" s="6" t="str">
        <f>'02-variable-info'!A898</f>
        <v>20-02-medical-history.csv</v>
      </c>
      <c r="B898" s="6" t="str">
        <f>'02-variable-info'!B898</f>
        <v>operationEyeSurgeryReason</v>
      </c>
      <c r="C898" s="6" t="str">
        <f>'02-variable-info'!M898</f>
        <v>eyeSurgeryReason</v>
      </c>
      <c r="D898" s="6" t="str">
        <f>'02-variable-info'!H898</f>
        <v>nomial</v>
      </c>
    </row>
    <row r="899">
      <c r="A899" s="6" t="str">
        <f>'02-variable-info'!A899</f>
        <v>20-02-medical-history.csv</v>
      </c>
      <c r="B899" s="6" t="str">
        <f>'02-variable-info'!B899</f>
        <v>operationHerniaSurgery</v>
      </c>
      <c r="C899" s="6" t="str">
        <f>'02-variable-info'!M899</f>
        <v>bool</v>
      </c>
      <c r="D899" s="6" t="str">
        <f>'02-variable-info'!H899</f>
        <v>boolean</v>
      </c>
    </row>
    <row r="900">
      <c r="A900" s="6" t="str">
        <f>'02-variable-info'!A900</f>
        <v>20-02-medical-history.csv</v>
      </c>
      <c r="B900" s="6" t="str">
        <f>'02-variable-info'!B900</f>
        <v>operationGastrostomyTube</v>
      </c>
      <c r="C900" s="6" t="str">
        <f>'02-variable-info'!M900</f>
        <v>bool</v>
      </c>
      <c r="D900" s="6" t="str">
        <f>'02-variable-info'!H900</f>
        <v>boolean</v>
      </c>
    </row>
    <row r="901">
      <c r="A901" s="6" t="str">
        <f>'02-variable-info'!A901</f>
        <v>20-02-medical-history.csv</v>
      </c>
      <c r="B901" s="6" t="str">
        <f>'02-variable-info'!B901</f>
        <v>operationFundoplication</v>
      </c>
      <c r="C901" s="6" t="str">
        <f>'02-variable-info'!M901</f>
        <v>bool</v>
      </c>
      <c r="D901" s="6" t="str">
        <f>'02-variable-info'!H901</f>
        <v>boolean</v>
      </c>
    </row>
    <row r="902">
      <c r="A902" s="6" t="str">
        <f>'02-variable-info'!A902</f>
        <v>20-02-medical-history.csv</v>
      </c>
      <c r="B902" s="6" t="str">
        <f>'02-variable-info'!B902</f>
        <v>operationShuntForHydrocephalus</v>
      </c>
      <c r="C902" s="6" t="str">
        <f>'02-variable-info'!M902</f>
        <v>bool</v>
      </c>
      <c r="D902" s="6" t="str">
        <f>'02-variable-info'!H902</f>
        <v>boolean</v>
      </c>
    </row>
    <row r="903">
      <c r="A903" s="6" t="str">
        <f>'02-variable-info'!A903</f>
        <v>20-02-medical-history.csv</v>
      </c>
      <c r="B903" s="6" t="str">
        <f>'02-variable-info'!B903</f>
        <v>operationReanastomosisOfLargeOrSmallIntenstine</v>
      </c>
      <c r="C903" s="6" t="str">
        <f>'02-variable-info'!M903</f>
        <v>bool</v>
      </c>
      <c r="D903" s="6" t="str">
        <f>'02-variable-info'!H903</f>
        <v>boolean</v>
      </c>
    </row>
    <row r="904">
      <c r="A904" s="6" t="str">
        <f>'02-variable-info'!A904</f>
        <v>20-02-medical-history.csv</v>
      </c>
      <c r="B904" s="6" t="str">
        <f>'02-variable-info'!B904</f>
        <v>operationPDALigation</v>
      </c>
      <c r="C904" s="6" t="str">
        <f>'02-variable-info'!M904</f>
        <v>bool</v>
      </c>
      <c r="D904" s="6" t="str">
        <f>'02-variable-info'!H904</f>
        <v>boolean</v>
      </c>
    </row>
    <row r="905">
      <c r="A905" s="6" t="str">
        <f>'02-variable-info'!A905</f>
        <v>20-02-medical-history.csv</v>
      </c>
      <c r="B905" s="6" t="str">
        <f>'02-variable-info'!B905</f>
        <v>operationBrochoscopy</v>
      </c>
      <c r="C905" s="6" t="str">
        <f>'02-variable-info'!M905</f>
        <v>bool</v>
      </c>
      <c r="D905" s="6" t="str">
        <f>'02-variable-info'!H905</f>
        <v>boolean</v>
      </c>
    </row>
    <row r="906">
      <c r="A906" s="6" t="str">
        <f>'02-variable-info'!A906</f>
        <v>20-02-medical-history.csv</v>
      </c>
      <c r="B906" s="6" t="str">
        <f>'02-variable-info'!B906</f>
        <v>operationHypospadiusRepair</v>
      </c>
      <c r="C906" s="6" t="str">
        <f>'02-variable-info'!M906</f>
        <v>bool</v>
      </c>
      <c r="D906" s="6" t="str">
        <f>'02-variable-info'!H906</f>
        <v>boolean</v>
      </c>
    </row>
    <row r="907">
      <c r="A907" s="6" t="str">
        <f>'02-variable-info'!A907</f>
        <v>20-02-medical-history.csv</v>
      </c>
      <c r="B907" s="6" t="str">
        <f>'02-variable-info'!B907</f>
        <v>operationOther</v>
      </c>
      <c r="C907" s="6" t="str">
        <f>'02-variable-info'!M907</f>
        <v>bool</v>
      </c>
      <c r="D907" s="6" t="str">
        <f>'02-variable-info'!H907</f>
        <v>boolean</v>
      </c>
    </row>
    <row r="908">
      <c r="A908" s="6" t="str">
        <f>'02-variable-info'!A908</f>
        <v>20-02-medical-history.csv</v>
      </c>
      <c r="B908" s="6" t="str">
        <f>'02-variable-info'!B908</f>
        <v>operationOtherText</v>
      </c>
      <c r="C908" s="6" t="str">
        <f>'02-variable-info'!M908</f>
        <v>text</v>
      </c>
      <c r="D908" s="6" t="str">
        <f>'02-variable-info'!H908</f>
        <v>text</v>
      </c>
    </row>
    <row r="909">
      <c r="A909" s="6" t="str">
        <f>'02-variable-info'!A909</f>
        <v>20-02-medical-history.csv</v>
      </c>
      <c r="B909" s="6" t="str">
        <f>'02-variable-info'!B909</f>
        <v>medication</v>
      </c>
      <c r="C909" s="6" t="str">
        <f>'02-variable-info'!M909</f>
        <v>bool</v>
      </c>
      <c r="D909" s="6" t="str">
        <f>'02-variable-info'!H909</f>
        <v>boolean</v>
      </c>
    </row>
    <row r="910">
      <c r="A910" s="6" t="str">
        <f>'02-variable-info'!A910</f>
        <v>20-02-medical-history.csv</v>
      </c>
      <c r="B910" s="6" t="str">
        <f>'02-variable-info'!B910</f>
        <v>vitaminMineralSupplement</v>
      </c>
      <c r="C910" s="6" t="str">
        <f>'02-variable-info'!M910</f>
        <v>medicationUse</v>
      </c>
      <c r="D910" s="6" t="str">
        <f>'02-variable-info'!H910</f>
        <v>nomial</v>
      </c>
    </row>
    <row r="911">
      <c r="A911" s="6" t="str">
        <f>'02-variable-info'!A911</f>
        <v>20-02-medical-history.csv</v>
      </c>
      <c r="B911" s="6" t="str">
        <f>'02-variable-info'!B911</f>
        <v>highCaloricFormula</v>
      </c>
      <c r="C911" s="6" t="str">
        <f>'02-variable-info'!M911</f>
        <v>medicationUse</v>
      </c>
      <c r="D911" s="6" t="str">
        <f>'02-variable-info'!H911</f>
        <v>nomial</v>
      </c>
    </row>
    <row r="912">
      <c r="A912" s="6" t="str">
        <f>'02-variable-info'!A912</f>
        <v>20-02-medical-history.csv</v>
      </c>
      <c r="B912" s="6" t="str">
        <f>'02-variable-info'!B912</f>
        <v>diuretics</v>
      </c>
      <c r="C912" s="6" t="str">
        <f>'02-variable-info'!M912</f>
        <v>medicationUse</v>
      </c>
      <c r="D912" s="6" t="str">
        <f>'02-variable-info'!H912</f>
        <v>nomial</v>
      </c>
    </row>
    <row r="913">
      <c r="A913" s="6" t="str">
        <f>'02-variable-info'!A913</f>
        <v>20-02-medical-history.csv</v>
      </c>
      <c r="B913" s="6" t="str">
        <f>'02-variable-info'!B913</f>
        <v>antiRefluxMedication</v>
      </c>
      <c r="C913" s="6" t="str">
        <f>'02-variable-info'!M913</f>
        <v>medicationUse</v>
      </c>
      <c r="D913" s="6" t="str">
        <f>'02-variable-info'!H913</f>
        <v>nomial</v>
      </c>
    </row>
    <row r="914">
      <c r="A914" s="6" t="str">
        <f>'02-variable-info'!A914</f>
        <v>20-02-medical-history.csv</v>
      </c>
      <c r="B914" s="6" t="str">
        <f>'02-variable-info'!B914</f>
        <v>bronchodilator</v>
      </c>
      <c r="C914" s="6" t="str">
        <f>'02-variable-info'!M914</f>
        <v>medicationUse</v>
      </c>
      <c r="D914" s="6" t="str">
        <f>'02-variable-info'!H914</f>
        <v>nomial</v>
      </c>
    </row>
    <row r="915">
      <c r="A915" s="6" t="str">
        <f>'02-variable-info'!A915</f>
        <v>20-02-medical-history.csv</v>
      </c>
      <c r="B915" s="6" t="str">
        <f>'02-variable-info'!B915</f>
        <v>inhaledSteroid</v>
      </c>
      <c r="C915" s="6" t="str">
        <f>'02-variable-info'!M915</f>
        <v>medicationUse</v>
      </c>
      <c r="D915" s="6" t="str">
        <f>'02-variable-info'!H915</f>
        <v>nomial</v>
      </c>
    </row>
    <row r="916">
      <c r="A916" s="6" t="str">
        <f>'02-variable-info'!A916</f>
        <v>20-02-medical-history.csv</v>
      </c>
      <c r="B916" s="6" t="str">
        <f>'02-variable-info'!B916</f>
        <v>oralIvSteroid</v>
      </c>
      <c r="C916" s="6" t="str">
        <f>'02-variable-info'!M916</f>
        <v>medicationUse</v>
      </c>
      <c r="D916" s="6" t="str">
        <f>'02-variable-info'!H916</f>
        <v>nomial</v>
      </c>
    </row>
    <row r="917">
      <c r="A917" s="6" t="str">
        <f>'02-variable-info'!A917</f>
        <v>20-02-medical-history.csv</v>
      </c>
      <c r="B917" s="6" t="str">
        <f>'02-variable-info'!B917</f>
        <v>otherAsthmaMedication</v>
      </c>
      <c r="C917" s="6" t="str">
        <f>'02-variable-info'!M917</f>
        <v>medicationUse</v>
      </c>
      <c r="D917" s="6" t="str">
        <f>'02-variable-info'!H917</f>
        <v>nomial</v>
      </c>
    </row>
    <row r="918">
      <c r="A918" s="6" t="str">
        <f>'02-variable-info'!A918</f>
        <v>20-02-medical-history.csv</v>
      </c>
      <c r="B918" s="6" t="str">
        <f>'02-variable-info'!B918</f>
        <v>decongestantColdAllergyMedication</v>
      </c>
      <c r="C918" s="6" t="str">
        <f>'02-variable-info'!M918</f>
        <v>medicationUse</v>
      </c>
      <c r="D918" s="6" t="str">
        <f>'02-variable-info'!H918</f>
        <v>nomial</v>
      </c>
    </row>
    <row r="919">
      <c r="A919" s="6" t="str">
        <f>'02-variable-info'!A919</f>
        <v>20-02-medical-history.csv</v>
      </c>
      <c r="B919" s="6" t="str">
        <f>'02-variable-info'!B919</f>
        <v>anticonvulsantMedication</v>
      </c>
      <c r="C919" s="6" t="str">
        <f>'02-variable-info'!M919</f>
        <v>medicationUse</v>
      </c>
      <c r="D919" s="6" t="str">
        <f>'02-variable-info'!H919</f>
        <v>nomial</v>
      </c>
    </row>
    <row r="920">
      <c r="A920" s="6" t="str">
        <f>'02-variable-info'!A920</f>
        <v>20-02-medical-history.csv</v>
      </c>
      <c r="B920" s="6" t="str">
        <f>'02-variable-info'!B920</f>
        <v>prophylaticAntibiotics</v>
      </c>
      <c r="C920" s="6" t="str">
        <f>'02-variable-info'!M920</f>
        <v>medicationUse</v>
      </c>
      <c r="D920" s="6" t="str">
        <f>'02-variable-info'!H920</f>
        <v>nomial</v>
      </c>
    </row>
    <row r="921">
      <c r="A921" s="6" t="str">
        <f>'02-variable-info'!A921</f>
        <v>20-02-medical-history.csv</v>
      </c>
      <c r="B921" s="6" t="str">
        <f>'02-variable-info'!B921</f>
        <v>antibiotics</v>
      </c>
      <c r="C921" s="6" t="str">
        <f>'02-variable-info'!M921</f>
        <v>medicationUse</v>
      </c>
      <c r="D921" s="6" t="str">
        <f>'02-variable-info'!H921</f>
        <v>nomial</v>
      </c>
    </row>
    <row r="922">
      <c r="A922" s="6" t="str">
        <f>'02-variable-info'!A922</f>
        <v>20-02-medical-history.csv</v>
      </c>
      <c r="B922" s="6" t="str">
        <f>'02-variable-info'!B922</f>
        <v>constipationMedication</v>
      </c>
      <c r="C922" s="6" t="str">
        <f>'02-variable-info'!M922</f>
        <v>medicationUse</v>
      </c>
      <c r="D922" s="6" t="str">
        <f>'02-variable-info'!H922</f>
        <v>nomial</v>
      </c>
    </row>
    <row r="923">
      <c r="A923" s="6" t="str">
        <f>'02-variable-info'!A923</f>
        <v>20-02-medical-history.csv</v>
      </c>
      <c r="B923" s="6" t="str">
        <f>'02-variable-info'!B923</f>
        <v>bloodPressureMedication</v>
      </c>
      <c r="C923" s="6" t="str">
        <f>'02-variable-info'!M923</f>
        <v>medicationUse</v>
      </c>
      <c r="D923" s="6" t="str">
        <f>'02-variable-info'!H923</f>
        <v>nomial</v>
      </c>
    </row>
    <row r="924">
      <c r="A924" s="6" t="str">
        <f>'02-variable-info'!A924</f>
        <v>20-02-medical-history.csv</v>
      </c>
      <c r="B924" s="6" t="str">
        <f>'02-variable-info'!B924</f>
        <v>thyroidMedication</v>
      </c>
      <c r="C924" s="6" t="str">
        <f>'02-variable-info'!M924</f>
        <v>medicationUse</v>
      </c>
      <c r="D924" s="6" t="str">
        <f>'02-variable-info'!H924</f>
        <v>nomial</v>
      </c>
    </row>
    <row r="925">
      <c r="A925" s="6" t="str">
        <f>'02-variable-info'!A925</f>
        <v>20-02-medical-history.csv</v>
      </c>
      <c r="B925" s="6" t="str">
        <f>'02-variable-info'!B925</f>
        <v>muscleRelaxants</v>
      </c>
      <c r="C925" s="6" t="str">
        <f>'02-variable-info'!M925</f>
        <v>medicationUse</v>
      </c>
      <c r="D925" s="6" t="str">
        <f>'02-variable-info'!H925</f>
        <v>nomial</v>
      </c>
    </row>
    <row r="926">
      <c r="A926" s="6" t="str">
        <f>'02-variable-info'!A926</f>
        <v>20-02-medical-history.csv</v>
      </c>
      <c r="B926" s="6" t="str">
        <f>'02-variable-info'!B926</f>
        <v>botox</v>
      </c>
      <c r="C926" s="6" t="str">
        <f>'02-variable-info'!M926</f>
        <v>medicationUse</v>
      </c>
      <c r="D926" s="6" t="str">
        <f>'02-variable-info'!H926</f>
        <v>nomial</v>
      </c>
    </row>
    <row r="927">
      <c r="A927" s="6" t="str">
        <f>'02-variable-info'!A927</f>
        <v>20-02-medical-history.csv</v>
      </c>
      <c r="B927" s="6" t="str">
        <f>'02-variable-info'!B927</f>
        <v>otherMedication</v>
      </c>
      <c r="C927" s="6" t="str">
        <f>'02-variable-info'!M927</f>
        <v>medicationUse</v>
      </c>
      <c r="D927" s="6" t="str">
        <f>'02-variable-info'!H927</f>
        <v>nomial</v>
      </c>
    </row>
    <row r="928">
      <c r="A928" s="6" t="str">
        <f>'02-variable-info'!A928</f>
        <v>20-02-medical-history.csv</v>
      </c>
      <c r="B928" s="6" t="str">
        <f>'02-variable-info'!B928</f>
        <v>otherMedicationText</v>
      </c>
      <c r="C928" s="6" t="str">
        <f>'02-variable-info'!M928</f>
        <v>text</v>
      </c>
      <c r="D928" s="6" t="str">
        <f>'02-variable-info'!H928</f>
        <v>text</v>
      </c>
    </row>
    <row r="929">
      <c r="A929" s="6" t="str">
        <f>'02-variable-info'!A929</f>
        <v>20-02-medical-history.csv</v>
      </c>
      <c r="B929" s="6" t="str">
        <f>'02-variable-info'!B929</f>
        <v>seizure</v>
      </c>
      <c r="C929" s="6" t="str">
        <f>'02-variable-info'!M929</f>
        <v>bool</v>
      </c>
      <c r="D929" s="6" t="str">
        <f>'02-variable-info'!H929</f>
        <v>boolean</v>
      </c>
    </row>
    <row r="930">
      <c r="A930" s="6" t="str">
        <f>'02-variable-info'!A930</f>
        <v>20-02-medical-history.csv</v>
      </c>
      <c r="B930" s="6" t="str">
        <f>'02-variable-info'!B930</f>
        <v>medicalEquipmentHomeUse</v>
      </c>
      <c r="C930" s="6" t="str">
        <f>'02-variable-info'!M930</f>
        <v>bool</v>
      </c>
      <c r="D930" s="6" t="str">
        <f>'02-variable-info'!H930</f>
        <v>boolean</v>
      </c>
    </row>
    <row r="931">
      <c r="A931" s="6" t="str">
        <f>'02-variable-info'!A931</f>
        <v>20-02-medical-history.csv</v>
      </c>
      <c r="B931" s="6" t="str">
        <f>'02-variable-info'!B931</f>
        <v>apneaMonitor</v>
      </c>
      <c r="C931" s="6" t="str">
        <f>'02-variable-info'!M931</f>
        <v>medicationUse</v>
      </c>
      <c r="D931" s="6" t="str">
        <f>'02-variable-info'!H931</f>
        <v>nomial</v>
      </c>
    </row>
    <row r="932">
      <c r="A932" s="6" t="str">
        <f>'02-variable-info'!A932</f>
        <v>20-02-medical-history.csv</v>
      </c>
      <c r="B932" s="6" t="str">
        <f>'02-variable-info'!B932</f>
        <v>oxygen</v>
      </c>
      <c r="C932" s="6" t="str">
        <f>'02-variable-info'!M932</f>
        <v>medicationUse</v>
      </c>
      <c r="D932" s="6" t="str">
        <f>'02-variable-info'!H932</f>
        <v>nomial</v>
      </c>
    </row>
    <row r="933">
      <c r="A933" s="6" t="str">
        <f>'02-variable-info'!A933</f>
        <v>20-02-medical-history.csv</v>
      </c>
      <c r="B933" s="6" t="str">
        <f>'02-variable-info'!B933</f>
        <v>ventilatorCPAP</v>
      </c>
      <c r="C933" s="6" t="str">
        <f>'02-variable-info'!M933</f>
        <v>medicationUse</v>
      </c>
      <c r="D933" s="6" t="str">
        <f>'02-variable-info'!H933</f>
        <v>nomial</v>
      </c>
    </row>
    <row r="934">
      <c r="A934" s="6" t="str">
        <f>'02-variable-info'!A934</f>
        <v>20-02-medical-history.csv</v>
      </c>
      <c r="B934" s="6" t="str">
        <f>'02-variable-info'!B934</f>
        <v>gastrostomyTube</v>
      </c>
      <c r="C934" s="6" t="str">
        <f>'02-variable-info'!M934</f>
        <v>medicationUse</v>
      </c>
      <c r="D934" s="6" t="str">
        <f>'02-variable-info'!H934</f>
        <v>nomial</v>
      </c>
    </row>
    <row r="935">
      <c r="A935" s="6" t="str">
        <f>'02-variable-info'!A935</f>
        <v>20-02-medical-history.csv</v>
      </c>
      <c r="B935" s="6" t="str">
        <f>'02-variable-info'!B935</f>
        <v>tracheostomy</v>
      </c>
      <c r="C935" s="6" t="str">
        <f>'02-variable-info'!M935</f>
        <v>medicationUse</v>
      </c>
      <c r="D935" s="6" t="str">
        <f>'02-variable-info'!H935</f>
        <v>nomial</v>
      </c>
    </row>
    <row r="936">
      <c r="A936" s="6" t="str">
        <f>'02-variable-info'!A936</f>
        <v>20-02-medical-history.csv</v>
      </c>
      <c r="B936" s="6" t="str">
        <f>'02-variable-info'!B936</f>
        <v>pulseOximeter</v>
      </c>
      <c r="C936" s="6" t="str">
        <f>'02-variable-info'!M936</f>
        <v>medicationUse</v>
      </c>
      <c r="D936" s="6" t="str">
        <f>'02-variable-info'!H936</f>
        <v>nomial</v>
      </c>
    </row>
    <row r="937">
      <c r="A937" s="6" t="str">
        <f>'02-variable-info'!A937</f>
        <v>20-02-medical-history.csv</v>
      </c>
      <c r="B937" s="6" t="str">
        <f>'02-variable-info'!B937</f>
        <v>fluShot</v>
      </c>
      <c r="C937" s="6" t="str">
        <f>'02-variable-info'!M937</f>
        <v>bool</v>
      </c>
      <c r="D937" s="6" t="str">
        <f>'02-variable-info'!H937</f>
        <v>boolean</v>
      </c>
    </row>
    <row r="938">
      <c r="A938" s="6" t="str">
        <f>'02-variable-info'!A938</f>
        <v>20-02-medical-history.csv</v>
      </c>
      <c r="B938" s="6" t="str">
        <f>'02-variable-info'!B938</f>
        <v>RSVProphylaxis</v>
      </c>
      <c r="C938" s="6" t="str">
        <f>'02-variable-info'!M938</f>
        <v>bool</v>
      </c>
      <c r="D938" s="6" t="str">
        <f>'02-variable-info'!H938</f>
        <v>boolean</v>
      </c>
    </row>
    <row r="939">
      <c r="A939" s="6" t="str">
        <f>'02-variable-info'!A939</f>
        <v>20-02-medical-history.csv</v>
      </c>
      <c r="B939" s="6" t="str">
        <f>'02-variable-info'!B939</f>
        <v>independentFeedSelf</v>
      </c>
      <c r="C939" s="6" t="str">
        <f>'02-variable-info'!M939</f>
        <v>bool</v>
      </c>
      <c r="D939" s="6" t="str">
        <f>'02-variable-info'!H939</f>
        <v>boolean</v>
      </c>
    </row>
    <row r="940">
      <c r="A940" s="6" t="str">
        <f>'02-variable-info'!A940</f>
        <v>20-02-medical-history.csv</v>
      </c>
      <c r="B940" s="6" t="str">
        <f>'02-variable-info'!B940</f>
        <v>assistedEatByMouth</v>
      </c>
      <c r="C940" s="6" t="str">
        <f>'02-variable-info'!M940</f>
        <v>bool</v>
      </c>
      <c r="D940" s="6" t="str">
        <f>'02-variable-info'!H940</f>
        <v>boolean</v>
      </c>
    </row>
    <row r="941">
      <c r="A941" s="6" t="str">
        <f>'02-variable-info'!A941</f>
        <v>20-02-medical-history.csv</v>
      </c>
      <c r="B941" s="6" t="str">
        <f>'02-variable-info'!B941</f>
        <v>tubeFeed</v>
      </c>
      <c r="C941" s="6" t="str">
        <f>'02-variable-info'!M941</f>
        <v>bool</v>
      </c>
      <c r="D941" s="6" t="str">
        <f>'02-variable-info'!H941</f>
        <v>boolean</v>
      </c>
    </row>
    <row r="942">
      <c r="A942" s="6" t="str">
        <f>'02-variable-info'!A942</f>
        <v>20-02-medical-history.csv</v>
      </c>
      <c r="B942" s="6" t="str">
        <f>'02-variable-info'!B942</f>
        <v>TPN</v>
      </c>
      <c r="C942" s="6" t="str">
        <f>'02-variable-info'!M942</f>
        <v>bool</v>
      </c>
      <c r="D942" s="6" t="str">
        <f>'02-variable-info'!H942</f>
        <v>boolean</v>
      </c>
    </row>
    <row r="943">
      <c r="A943" s="6" t="str">
        <f>'02-variable-info'!A943</f>
        <v>20-02-medical-history.csv</v>
      </c>
      <c r="B943" s="6" t="str">
        <f>'02-variable-info'!B943</f>
        <v>dietMilk</v>
      </c>
      <c r="C943" s="6" t="str">
        <f>'02-variable-info'!M943</f>
        <v>bool</v>
      </c>
      <c r="D943" s="6" t="str">
        <f>'02-variable-info'!H943</f>
        <v>boolean</v>
      </c>
    </row>
    <row r="944">
      <c r="A944" s="6" t="str">
        <f>'02-variable-info'!A944</f>
        <v>20-02-medical-history.csv</v>
      </c>
      <c r="B944" s="6" t="str">
        <f>'02-variable-info'!B944</f>
        <v>dietTableFood</v>
      </c>
      <c r="C944" s="6" t="str">
        <f>'02-variable-info'!M944</f>
        <v>bool</v>
      </c>
      <c r="D944" s="6" t="str">
        <f>'02-variable-info'!H944</f>
        <v>boolean</v>
      </c>
    </row>
    <row r="945">
      <c r="A945" s="6" t="str">
        <f>'02-variable-info'!A945</f>
        <v>20-02-medical-history.csv</v>
      </c>
      <c r="B945" s="6" t="str">
        <f>'02-variable-info'!B945</f>
        <v>dietSoftFood</v>
      </c>
      <c r="C945" s="6" t="str">
        <f>'02-variable-info'!M945</f>
        <v>bool</v>
      </c>
      <c r="D945" s="6" t="str">
        <f>'02-variable-info'!H945</f>
        <v>boolean</v>
      </c>
    </row>
    <row r="946">
      <c r="A946" s="6" t="str">
        <f>'02-variable-info'!A946</f>
        <v>20-02-medical-history.csv</v>
      </c>
      <c r="B946" s="6" t="str">
        <f>'02-variable-info'!B946</f>
        <v>dietLiquid</v>
      </c>
      <c r="C946" s="6" t="str">
        <f>'02-variable-info'!M946</f>
        <v>bool</v>
      </c>
      <c r="D946" s="6" t="str">
        <f>'02-variable-info'!H946</f>
        <v>boolean</v>
      </c>
    </row>
    <row r="947">
      <c r="A947" s="6" t="str">
        <f>'02-variable-info'!A947</f>
        <v>20-02-medical-history.csv</v>
      </c>
      <c r="B947" s="6" t="str">
        <f>'02-variable-info'!B947</f>
        <v>dietThickendLiquid</v>
      </c>
      <c r="C947" s="6" t="str">
        <f>'02-variable-info'!M947</f>
        <v>bool</v>
      </c>
      <c r="D947" s="6" t="str">
        <f>'02-variable-info'!H947</f>
        <v>boolean</v>
      </c>
    </row>
    <row r="948">
      <c r="A948" s="6" t="str">
        <f>'02-variable-info'!A948</f>
        <v>20-02-medical-history.csv</v>
      </c>
      <c r="B948" s="6" t="str">
        <f>'02-variable-info'!B948</f>
        <v>subcutaneousFatNecrosis</v>
      </c>
      <c r="C948" s="6" t="str">
        <f>'02-variable-info'!M948</f>
        <v>bool</v>
      </c>
      <c r="D948" s="6" t="str">
        <f>'02-variable-info'!H948</f>
        <v>boolean</v>
      </c>
    </row>
    <row r="949">
      <c r="A949" s="6" t="str">
        <f>'02-variable-info'!A949</f>
        <v>20-02-medical-history.csv</v>
      </c>
      <c r="B949" s="6" t="str">
        <f>'02-variable-info'!B949</f>
        <v>equipmentForStanding</v>
      </c>
      <c r="C949" s="6" t="str">
        <f>'02-variable-info'!M949</f>
        <v>bool</v>
      </c>
      <c r="D949" s="6" t="str">
        <f>'02-variable-info'!H949</f>
        <v>boolean</v>
      </c>
    </row>
    <row r="950">
      <c r="A950" s="6" t="str">
        <f>'02-variable-info'!A950</f>
        <v>20-02-medical-history.csv</v>
      </c>
      <c r="B950" s="6" t="str">
        <f>'02-variable-info'!B950</f>
        <v>adaptedStroller</v>
      </c>
      <c r="C950" s="6" t="str">
        <f>'02-variable-info'!M950</f>
        <v>bool</v>
      </c>
      <c r="D950" s="6" t="str">
        <f>'02-variable-info'!H950</f>
        <v>boolean</v>
      </c>
    </row>
    <row r="951">
      <c r="A951" s="6" t="str">
        <f>'02-variable-info'!A951</f>
        <v>20-02-medical-history.csv</v>
      </c>
      <c r="B951" s="6" t="str">
        <f>'02-variable-info'!B951</f>
        <v>bracesOrthotics</v>
      </c>
      <c r="C951" s="6" t="str">
        <f>'02-variable-info'!M951</f>
        <v>bool</v>
      </c>
      <c r="D951" s="6" t="str">
        <f>'02-variable-info'!H951</f>
        <v>boolean</v>
      </c>
    </row>
    <row r="952">
      <c r="A952" s="6" t="str">
        <f>'02-variable-info'!A952</f>
        <v>20-02-medical-history.csv</v>
      </c>
      <c r="B952" s="6" t="str">
        <f>'02-variable-info'!B952</f>
        <v>walker</v>
      </c>
      <c r="C952" s="6" t="str">
        <f>'02-variable-info'!M952</f>
        <v>bool</v>
      </c>
      <c r="D952" s="6" t="str">
        <f>'02-variable-info'!H952</f>
        <v>boolean</v>
      </c>
    </row>
    <row r="953">
      <c r="A953" s="6" t="str">
        <f>'02-variable-info'!A953</f>
        <v>20-02-medical-history.csv</v>
      </c>
      <c r="B953" s="6" t="str">
        <f>'02-variable-info'!B953</f>
        <v>stander</v>
      </c>
      <c r="C953" s="6" t="str">
        <f>'02-variable-info'!M953</f>
        <v>bool</v>
      </c>
      <c r="D953" s="6" t="str">
        <f>'02-variable-info'!H953</f>
        <v>boolean</v>
      </c>
    </row>
    <row r="954">
      <c r="A954" s="6" t="str">
        <f>'02-variable-info'!A954</f>
        <v>20-02-medical-history.csv</v>
      </c>
      <c r="B954" s="6" t="str">
        <f>'02-variable-info'!B954</f>
        <v>cornerChairTumblerForm</v>
      </c>
      <c r="C954" s="6" t="str">
        <f>'02-variable-info'!M954</f>
        <v>bool</v>
      </c>
      <c r="D954" s="6" t="str">
        <f>'02-variable-info'!H954</f>
        <v>boolean</v>
      </c>
    </row>
    <row r="955">
      <c r="A955" s="6" t="str">
        <f>'02-variable-info'!A955</f>
        <v>20-03-medical-exam.csv</v>
      </c>
      <c r="B955" s="6" t="str">
        <f>'02-variable-info'!B955</f>
        <v>weight_kg</v>
      </c>
      <c r="C955" s="6" t="str">
        <f>'02-variable-info'!M955</f>
        <v>float</v>
      </c>
      <c r="D955" s="6" t="str">
        <f>'02-variable-info'!H955</f>
        <v>number</v>
      </c>
    </row>
    <row r="956">
      <c r="A956" s="6" t="str">
        <f>'02-variable-info'!A956</f>
        <v>20-03-medical-exam.csv</v>
      </c>
      <c r="B956" s="6" t="str">
        <f>'02-variable-info'!B956</f>
        <v>length_cm</v>
      </c>
      <c r="C956" s="6" t="str">
        <f>'02-variable-info'!M956</f>
        <v>float</v>
      </c>
      <c r="D956" s="6" t="str">
        <f>'02-variable-info'!H956</f>
        <v>number</v>
      </c>
    </row>
    <row r="957">
      <c r="A957" s="6" t="str">
        <f>'02-variable-info'!A957</f>
        <v>20-03-medical-exam.csv</v>
      </c>
      <c r="B957" s="6" t="str">
        <f>'02-variable-info'!B957</f>
        <v>headCircumference_cm</v>
      </c>
      <c r="C957" s="6" t="str">
        <f>'02-variable-info'!M957</f>
        <v>float</v>
      </c>
      <c r="D957" s="6" t="str">
        <f>'02-variable-info'!H957</f>
        <v>number</v>
      </c>
    </row>
    <row r="958">
      <c r="A958" s="6" t="str">
        <f>'02-variable-info'!A958</f>
        <v>20-03-medical-exam.csv</v>
      </c>
      <c r="B958" s="6" t="str">
        <f>'02-variable-info'!B958</f>
        <v>strabismusRight</v>
      </c>
      <c r="C958" s="6" t="str">
        <f>'02-variable-info'!M958</f>
        <v>eye</v>
      </c>
      <c r="D958" s="6" t="str">
        <f>'02-variable-info'!H958</f>
        <v>ordinal</v>
      </c>
    </row>
    <row r="959">
      <c r="A959" s="6" t="str">
        <f>'02-variable-info'!A959</f>
        <v>20-03-medical-exam.csv</v>
      </c>
      <c r="B959" s="6" t="str">
        <f>'02-variable-info'!B959</f>
        <v>strabismusLeft</v>
      </c>
      <c r="C959" s="6" t="str">
        <f>'02-variable-info'!M959</f>
        <v>eye</v>
      </c>
      <c r="D959" s="6" t="str">
        <f>'02-variable-info'!H959</f>
        <v>ordinal</v>
      </c>
    </row>
    <row r="960">
      <c r="A960" s="6" t="str">
        <f>'02-variable-info'!A960</f>
        <v>20-03-medical-exam.csv</v>
      </c>
      <c r="B960" s="6" t="str">
        <f>'02-variable-info'!B960</f>
        <v>nystagmusRight</v>
      </c>
      <c r="C960" s="6" t="str">
        <f>'02-variable-info'!M960</f>
        <v>eye</v>
      </c>
      <c r="D960" s="6" t="str">
        <f>'02-variable-info'!H960</f>
        <v>ordinal</v>
      </c>
    </row>
    <row r="961">
      <c r="A961" s="6" t="str">
        <f>'02-variable-info'!A961</f>
        <v>20-03-medical-exam.csv</v>
      </c>
      <c r="B961" s="6" t="str">
        <f>'02-variable-info'!B961</f>
        <v>nystagmusLeft</v>
      </c>
      <c r="C961" s="6" t="str">
        <f>'02-variable-info'!M961</f>
        <v>eye</v>
      </c>
      <c r="D961" s="6" t="str">
        <f>'02-variable-info'!H961</f>
        <v>ordinal</v>
      </c>
    </row>
    <row r="962">
      <c r="A962" s="6" t="str">
        <f>'02-variable-info'!A962</f>
        <v>20-03-medical-exam.csv</v>
      </c>
      <c r="B962" s="6" t="str">
        <f>'02-variable-info'!B962</f>
        <v>rovingEyeMovementRight</v>
      </c>
      <c r="C962" s="6" t="str">
        <f>'02-variable-info'!M962</f>
        <v>eye</v>
      </c>
      <c r="D962" s="6" t="str">
        <f>'02-variable-info'!H962</f>
        <v>ordinal</v>
      </c>
    </row>
    <row r="963">
      <c r="A963" s="6" t="str">
        <f>'02-variable-info'!A963</f>
        <v>20-03-medical-exam.csv</v>
      </c>
      <c r="B963" s="6" t="str">
        <f>'02-variable-info'!B963</f>
        <v>rovingEyeMovementLeft</v>
      </c>
      <c r="C963" s="6" t="str">
        <f>'02-variable-info'!M963</f>
        <v>eye</v>
      </c>
      <c r="D963" s="6" t="str">
        <f>'02-variable-info'!H963</f>
        <v>ordinal</v>
      </c>
    </row>
    <row r="964">
      <c r="A964" s="6" t="str">
        <f>'02-variable-info'!A964</f>
        <v>20-03-medical-exam.csv</v>
      </c>
      <c r="B964" s="6" t="str">
        <f>'02-variable-info'!B964</f>
        <v>eyeTrackRight</v>
      </c>
      <c r="C964" s="6" t="str">
        <f>'02-variable-info'!M964</f>
        <v>eye</v>
      </c>
      <c r="D964" s="6" t="str">
        <f>'02-variable-info'!H964</f>
        <v>ordinal</v>
      </c>
    </row>
    <row r="965">
      <c r="A965" s="6" t="str">
        <f>'02-variable-info'!A965</f>
        <v>20-03-medical-exam.csv</v>
      </c>
      <c r="B965" s="6" t="str">
        <f>'02-variable-info'!B965</f>
        <v>eyeTrackLeft</v>
      </c>
      <c r="C965" s="6" t="str">
        <f>'02-variable-info'!M965</f>
        <v>eye</v>
      </c>
      <c r="D965" s="6" t="str">
        <f>'02-variable-info'!H965</f>
        <v>ordinal</v>
      </c>
    </row>
    <row r="966">
      <c r="A966" s="6" t="str">
        <f>'02-variable-info'!A966</f>
        <v>20-03-medical-exam.csv</v>
      </c>
      <c r="B966" s="6" t="str">
        <f>'02-variable-info'!B966</f>
        <v>visionRight</v>
      </c>
      <c r="C966" s="6" t="str">
        <f>'02-variable-info'!M966</f>
        <v>vision</v>
      </c>
      <c r="D966" s="6" t="str">
        <f>'02-variable-info'!H966</f>
        <v>ordinal</v>
      </c>
    </row>
    <row r="967">
      <c r="A967" s="6" t="str">
        <f>'02-variable-info'!A967</f>
        <v>20-03-medical-exam.csv</v>
      </c>
      <c r="B967" s="6" t="str">
        <f>'02-variable-info'!B967</f>
        <v>visionLeft</v>
      </c>
      <c r="C967" s="6" t="str">
        <f>'02-variable-info'!M967</f>
        <v>vision</v>
      </c>
      <c r="D967" s="6" t="str">
        <f>'02-variable-info'!H967</f>
        <v>ordinal</v>
      </c>
    </row>
    <row r="968">
      <c r="A968" s="6" t="str">
        <f>'02-variable-info'!A968</f>
        <v>20-03-medical-exam.csv</v>
      </c>
      <c r="B968" s="6" t="str">
        <f>'02-variable-info'!B968</f>
        <v>audiologicAssessment</v>
      </c>
      <c r="C968" s="6" t="str">
        <f>'02-variable-info'!M968</f>
        <v>bool</v>
      </c>
      <c r="D968" s="6" t="str">
        <f>'02-variable-info'!H968</f>
        <v>boolean</v>
      </c>
    </row>
    <row r="969">
      <c r="A969" s="6" t="str">
        <f>'02-variable-info'!A969</f>
        <v>20-03-medical-exam.csv</v>
      </c>
      <c r="B969" s="6" t="str">
        <f>'02-variable-info'!B969</f>
        <v>audiologicPendingForAssessment</v>
      </c>
      <c r="C969" s="6" t="str">
        <f>'02-variable-info'!M969</f>
        <v>bool</v>
      </c>
      <c r="D969" s="6" t="str">
        <f>'02-variable-info'!H969</f>
        <v>boolean</v>
      </c>
    </row>
    <row r="970">
      <c r="A970" s="6" t="str">
        <f>'02-variable-info'!A970</f>
        <v>20-03-medical-exam.csv</v>
      </c>
      <c r="B970" s="6" t="str">
        <f>'02-variable-info'!B970</f>
        <v>visualReinforcementAudiometry</v>
      </c>
      <c r="C970" s="6" t="str">
        <f>'02-variable-info'!M970</f>
        <v>bool</v>
      </c>
      <c r="D970" s="6" t="str">
        <f>'02-variable-info'!H970</f>
        <v>boolean</v>
      </c>
    </row>
    <row r="971">
      <c r="A971" s="6" t="str">
        <f>'02-variable-info'!A971</f>
        <v>20-03-medical-exam.csv</v>
      </c>
      <c r="B971" s="6" t="str">
        <f>'02-variable-info'!B971</f>
        <v>VRARight</v>
      </c>
      <c r="C971" s="6" t="str">
        <f>'02-variable-info'!M971</f>
        <v>hearing</v>
      </c>
      <c r="D971" s="6" t="str">
        <f>'02-variable-info'!H971</f>
        <v>ordinal</v>
      </c>
    </row>
    <row r="972">
      <c r="A972" s="6" t="str">
        <f>'02-variable-info'!A972</f>
        <v>20-03-medical-exam.csv</v>
      </c>
      <c r="B972" s="6" t="str">
        <f>'02-variable-info'!B972</f>
        <v>VRALeft</v>
      </c>
      <c r="C972" s="6" t="str">
        <f>'02-variable-info'!M972</f>
        <v>hearing</v>
      </c>
      <c r="D972" s="6" t="str">
        <f>'02-variable-info'!H972</f>
        <v>ordinal</v>
      </c>
    </row>
    <row r="973">
      <c r="A973" s="6" t="str">
        <f>'02-variable-info'!A973</f>
        <v>20-03-medical-exam.csv</v>
      </c>
      <c r="B973" s="6" t="str">
        <f>'02-variable-info'!B973</f>
        <v>VRASoundField</v>
      </c>
      <c r="C973" s="6" t="str">
        <f>'02-variable-info'!M973</f>
        <v>hearing</v>
      </c>
      <c r="D973" s="6" t="str">
        <f>'02-variable-info'!H973</f>
        <v>ordinal</v>
      </c>
    </row>
    <row r="974">
      <c r="A974" s="6" t="str">
        <f>'02-variable-info'!A974</f>
        <v>20-03-medical-exam.csv</v>
      </c>
      <c r="B974" s="6" t="str">
        <f>'02-variable-info'!B974</f>
        <v>ABR</v>
      </c>
      <c r="C974" s="6" t="str">
        <f>'02-variable-info'!M974</f>
        <v>bool</v>
      </c>
      <c r="D974" s="6" t="str">
        <f>'02-variable-info'!H974</f>
        <v>boolean</v>
      </c>
    </row>
    <row r="975">
      <c r="A975" s="6" t="str">
        <f>'02-variable-info'!A975</f>
        <v>20-03-medical-exam.csv</v>
      </c>
      <c r="B975" s="6" t="str">
        <f>'02-variable-info'!B975</f>
        <v>ABRRight</v>
      </c>
      <c r="C975" s="6" t="str">
        <f>'02-variable-info'!M975</f>
        <v>hearing</v>
      </c>
      <c r="D975" s="6" t="str">
        <f>'02-variable-info'!H975</f>
        <v>ordinal</v>
      </c>
    </row>
    <row r="976">
      <c r="A976" s="6" t="str">
        <f>'02-variable-info'!A976</f>
        <v>20-03-medical-exam.csv</v>
      </c>
      <c r="B976" s="6" t="str">
        <f>'02-variable-info'!B976</f>
        <v>ABRLeft</v>
      </c>
      <c r="C976" s="6" t="str">
        <f>'02-variable-info'!M976</f>
        <v>hearing</v>
      </c>
      <c r="D976" s="6" t="str">
        <f>'02-variable-info'!H976</f>
        <v>ordinal</v>
      </c>
    </row>
    <row r="977">
      <c r="A977" s="6" t="str">
        <f>'02-variable-info'!A977</f>
        <v>20-03-medical-exam.csv</v>
      </c>
      <c r="B977" s="6" t="str">
        <f>'02-variable-info'!B977</f>
        <v>hearingTestUnknown</v>
      </c>
      <c r="C977" s="6" t="str">
        <f>'02-variable-info'!M977</f>
        <v>bool</v>
      </c>
      <c r="D977" s="6" t="str">
        <f>'02-variable-info'!H977</f>
        <v>boolean</v>
      </c>
    </row>
    <row r="978">
      <c r="A978" s="6" t="str">
        <f>'02-variable-info'!A978</f>
        <v>20-03-medical-exam.csv</v>
      </c>
      <c r="B978" s="6" t="str">
        <f>'02-variable-info'!B978</f>
        <v>hearingTestUnknownRight</v>
      </c>
      <c r="C978" s="6" t="str">
        <f>'02-variable-info'!M978</f>
        <v>hearing</v>
      </c>
      <c r="D978" s="6" t="str">
        <f>'02-variable-info'!H978</f>
        <v>ordinal</v>
      </c>
    </row>
    <row r="979">
      <c r="A979" s="6" t="str">
        <f>'02-variable-info'!A979</f>
        <v>20-03-medical-exam.csv</v>
      </c>
      <c r="B979" s="6" t="str">
        <f>'02-variable-info'!B979</f>
        <v>hearingTestUnknownLeft</v>
      </c>
      <c r="C979" s="6" t="str">
        <f>'02-variable-info'!M979</f>
        <v>hearing</v>
      </c>
      <c r="D979" s="6" t="str">
        <f>'02-variable-info'!H979</f>
        <v>ordinal</v>
      </c>
    </row>
    <row r="980">
      <c r="A980" s="6" t="str">
        <f>'02-variable-info'!A980</f>
        <v>20-03-medical-exam.csv</v>
      </c>
      <c r="B980" s="6" t="str">
        <f>'02-variable-info'!B980</f>
        <v>hearingImpaired</v>
      </c>
      <c r="C980" s="6" t="str">
        <f>'02-variable-info'!M980</f>
        <v>hearingImpaired</v>
      </c>
      <c r="D980" s="6" t="str">
        <f>'02-variable-info'!H980</f>
        <v>ordinal</v>
      </c>
    </row>
    <row r="981">
      <c r="A981" s="6" t="str">
        <f>'02-variable-info'!A981</f>
        <v>20-03-medical-exam.csv</v>
      </c>
      <c r="B981" s="6" t="str">
        <f>'02-variable-info'!B981</f>
        <v>hearingAidRequirement</v>
      </c>
      <c r="C981" s="6" t="str">
        <f>'02-variable-info'!M981</f>
        <v>hearingAid</v>
      </c>
      <c r="D981" s="6" t="str">
        <f>'02-variable-info'!H981</f>
        <v>ordinal</v>
      </c>
    </row>
    <row r="982">
      <c r="A982" s="6" t="str">
        <f>'02-variable-info'!A982</f>
        <v>20-03-medical-exam.csv</v>
      </c>
      <c r="B982" s="6" t="str">
        <f>'02-variable-info'!B982</f>
        <v>hearingImplant</v>
      </c>
      <c r="C982" s="6" t="str">
        <f>'02-variable-info'!M982</f>
        <v>hearingAid</v>
      </c>
      <c r="D982" s="6" t="str">
        <f>'02-variable-info'!H982</f>
        <v>ordinal</v>
      </c>
    </row>
    <row r="983">
      <c r="A983" s="6" t="str">
        <f>'02-variable-info'!A983</f>
        <v>20-03-medical-exam.csv</v>
      </c>
      <c r="B983" s="6" t="str">
        <f>'02-variable-info'!B983</f>
        <v>swallowing</v>
      </c>
      <c r="C983" s="6" t="str">
        <f>'02-variable-info'!M983</f>
        <v>swallow</v>
      </c>
      <c r="D983" s="6" t="str">
        <f>'02-variable-info'!H983</f>
        <v>ordinal</v>
      </c>
    </row>
    <row r="984">
      <c r="A984" s="6" t="str">
        <f>'02-variable-info'!A984</f>
        <v>20-03-medical-exam.csv</v>
      </c>
      <c r="B984" s="6" t="str">
        <f>'02-variable-info'!B984</f>
        <v>dysphagia</v>
      </c>
      <c r="C984" s="6" t="str">
        <f>'02-variable-info'!M984</f>
        <v>bool</v>
      </c>
      <c r="D984" s="6" t="str">
        <f>'02-variable-info'!H984</f>
        <v>boolean</v>
      </c>
    </row>
    <row r="985">
      <c r="A985" s="6" t="str">
        <f>'02-variable-info'!A985</f>
        <v>20-03-medical-exam.csv</v>
      </c>
      <c r="B985" s="6" t="str">
        <f>'02-variable-info'!B985</f>
        <v>aspiration</v>
      </c>
      <c r="C985" s="6" t="str">
        <f>'02-variable-info'!M985</f>
        <v>bool</v>
      </c>
      <c r="D985" s="6" t="str">
        <f>'02-variable-info'!H985</f>
        <v>boolean</v>
      </c>
    </row>
    <row r="986">
      <c r="A986" s="6" t="str">
        <f>'02-variable-info'!A986</f>
        <v>20-03-medical-exam.csv</v>
      </c>
      <c r="B986" s="6" t="str">
        <f>'02-variable-info'!B986</f>
        <v>abnormalVoice</v>
      </c>
      <c r="C986" s="6" t="str">
        <f>'02-variable-info'!M986</f>
        <v>bool</v>
      </c>
      <c r="D986" s="6" t="str">
        <f>'02-variable-info'!H986</f>
        <v>boolean</v>
      </c>
    </row>
    <row r="987">
      <c r="A987" s="6" t="str">
        <f>'02-variable-info'!A987</f>
        <v>20-03-medical-exam.csv</v>
      </c>
      <c r="B987" s="6" t="str">
        <f>'02-variable-info'!B987</f>
        <v>drooling</v>
      </c>
      <c r="C987" s="6" t="str">
        <f>'02-variable-info'!M987</f>
        <v>bool</v>
      </c>
      <c r="D987" s="6" t="str">
        <f>'02-variable-info'!H987</f>
        <v>boolean</v>
      </c>
    </row>
    <row r="988">
      <c r="A988" s="6" t="str">
        <f>'02-variable-info'!A988</f>
        <v>20-03-medical-exam.csv</v>
      </c>
      <c r="B988" s="6" t="str">
        <f>'02-variable-info'!B988</f>
        <v>nothingByMouth</v>
      </c>
      <c r="C988" s="6" t="str">
        <f>'02-variable-info'!M988</f>
        <v>bool</v>
      </c>
      <c r="D988" s="6" t="str">
        <f>'02-variable-info'!H988</f>
        <v>boolean</v>
      </c>
    </row>
    <row r="989">
      <c r="A989" s="6" t="str">
        <f>'02-variable-info'!A989</f>
        <v>20-03-medical-exam.csv</v>
      </c>
      <c r="B989" s="6" t="str">
        <f>'02-variable-info'!B989</f>
        <v>observedAbnormalMovement</v>
      </c>
      <c r="C989" s="6" t="str">
        <f>'02-variable-info'!M989</f>
        <v>bool</v>
      </c>
      <c r="D989" s="6" t="str">
        <f>'02-variable-info'!H989</f>
        <v>boolean</v>
      </c>
    </row>
    <row r="990">
      <c r="A990" s="6" t="str">
        <f>'02-variable-info'!A990</f>
        <v>20-03-medical-exam.csv</v>
      </c>
      <c r="B990" s="6" t="str">
        <f>'02-variable-info'!B990</f>
        <v>observedAbnormalMovementShortJerky</v>
      </c>
      <c r="C990" s="6" t="str">
        <f>'02-variable-info'!M990</f>
        <v>bool</v>
      </c>
      <c r="D990" s="6" t="str">
        <f>'02-variable-info'!H990</f>
        <v>boolean</v>
      </c>
    </row>
    <row r="991">
      <c r="A991" s="6" t="str">
        <f>'02-variable-info'!A991</f>
        <v>20-03-medical-exam.csv</v>
      </c>
      <c r="B991" s="6" t="str">
        <f>'02-variable-info'!B991</f>
        <v>observedAbnormalMovementSlowWrithing</v>
      </c>
      <c r="C991" s="6" t="str">
        <f>'02-variable-info'!M991</f>
        <v>bool</v>
      </c>
      <c r="D991" s="6" t="str">
        <f>'02-variable-info'!H991</f>
        <v>boolean</v>
      </c>
    </row>
    <row r="992">
      <c r="A992" s="6" t="str">
        <f>'02-variable-info'!A992</f>
        <v>20-03-medical-exam.csv</v>
      </c>
      <c r="B992" s="6" t="str">
        <f>'02-variable-info'!B992</f>
        <v>observedAbnormalMovementTremor</v>
      </c>
      <c r="C992" s="6" t="str">
        <f>'02-variable-info'!M992</f>
        <v>bool</v>
      </c>
      <c r="D992" s="6" t="str">
        <f>'02-variable-info'!H992</f>
        <v>boolean</v>
      </c>
    </row>
    <row r="993">
      <c r="A993" s="6" t="str">
        <f>'02-variable-info'!A993</f>
        <v>20-03-medical-exam.csv</v>
      </c>
      <c r="B993" s="6" t="str">
        <f>'02-variable-info'!B993</f>
        <v>passiveMuscleToneNeckTrunk</v>
      </c>
      <c r="C993" s="6" t="str">
        <f>'02-variable-info'!M993</f>
        <v>passiveMuscleTone</v>
      </c>
      <c r="D993" s="6" t="str">
        <f>'02-variable-info'!H993</f>
        <v>ordinal</v>
      </c>
    </row>
    <row r="994">
      <c r="A994" s="6" t="str">
        <f>'02-variable-info'!A994</f>
        <v>20-03-medical-exam.csv</v>
      </c>
      <c r="B994" s="6" t="str">
        <f>'02-variable-info'!B994</f>
        <v>upperExtremityMuscleToneRight</v>
      </c>
      <c r="C994" s="6" t="str">
        <f>'02-variable-info'!M994</f>
        <v>passiveMuscleTone</v>
      </c>
      <c r="D994" s="6" t="str">
        <f>'02-variable-info'!H994</f>
        <v>ordinal</v>
      </c>
    </row>
    <row r="995">
      <c r="A995" s="6" t="str">
        <f>'02-variable-info'!A995</f>
        <v>20-03-medical-exam.csv</v>
      </c>
      <c r="B995" s="6" t="str">
        <f>'02-variable-info'!B995</f>
        <v>upperExtremityMuscleToneLeft</v>
      </c>
      <c r="C995" s="6" t="str">
        <f>'02-variable-info'!M995</f>
        <v>passiveMuscleTone</v>
      </c>
      <c r="D995" s="6" t="str">
        <f>'02-variable-info'!H995</f>
        <v>ordinal</v>
      </c>
    </row>
    <row r="996">
      <c r="A996" s="6" t="str">
        <f>'02-variable-info'!A996</f>
        <v>20-03-medical-exam.csv</v>
      </c>
      <c r="B996" s="6" t="str">
        <f>'02-variable-info'!B996</f>
        <v>lowerExtremityMuscleToneHipKneeRight</v>
      </c>
      <c r="C996" s="6" t="str">
        <f>'02-variable-info'!M996</f>
        <v>passiveMuscleTone</v>
      </c>
      <c r="D996" s="6" t="str">
        <f>'02-variable-info'!H996</f>
        <v>ordinal</v>
      </c>
    </row>
    <row r="997">
      <c r="A997" s="6" t="str">
        <f>'02-variable-info'!A997</f>
        <v>20-03-medical-exam.csv</v>
      </c>
      <c r="B997" s="6" t="str">
        <f>'02-variable-info'!B997</f>
        <v>lowerExtremityMuscleToneHipKneeLeft</v>
      </c>
      <c r="C997" s="6" t="str">
        <f>'02-variable-info'!M997</f>
        <v>passiveMuscleTone</v>
      </c>
      <c r="D997" s="6" t="str">
        <f>'02-variable-info'!H997</f>
        <v>ordinal</v>
      </c>
    </row>
    <row r="998">
      <c r="A998" s="6" t="str">
        <f>'02-variable-info'!A998</f>
        <v>20-03-medical-exam.csv</v>
      </c>
      <c r="B998" s="6" t="str">
        <f>'02-variable-info'!B998</f>
        <v>lowerExtremityMuscleToneAnkleRight</v>
      </c>
      <c r="C998" s="6" t="str">
        <f>'02-variable-info'!M998</f>
        <v>passiveMuscleTone</v>
      </c>
      <c r="D998" s="6" t="str">
        <f>'02-variable-info'!H998</f>
        <v>ordinal</v>
      </c>
    </row>
    <row r="999">
      <c r="A999" s="6" t="str">
        <f>'02-variable-info'!A999</f>
        <v>20-03-medical-exam.csv</v>
      </c>
      <c r="B999" s="6" t="str">
        <f>'02-variable-info'!B999</f>
        <v>lowerExtremityMuscleToneAnkleLeft</v>
      </c>
      <c r="C999" s="6" t="str">
        <f>'02-variable-info'!M999</f>
        <v>passiveMuscleTone</v>
      </c>
      <c r="D999" s="6" t="str">
        <f>'02-variable-info'!H999</f>
        <v>ordinal</v>
      </c>
    </row>
    <row r="1000">
      <c r="A1000" s="6" t="str">
        <f>'02-variable-info'!A1000</f>
        <v>20-03-medical-exam.csv</v>
      </c>
      <c r="B1000" s="6" t="str">
        <f>'02-variable-info'!B1000</f>
        <v>scissoringLegs</v>
      </c>
      <c r="C1000" s="6" t="str">
        <f>'02-variable-info'!M1000</f>
        <v>bool</v>
      </c>
      <c r="D1000" s="6" t="str">
        <f>'02-variable-info'!H1000</f>
        <v>boolean</v>
      </c>
    </row>
    <row r="1001">
      <c r="A1001" s="6" t="str">
        <f>'02-variable-info'!A1001</f>
        <v>20-03-medical-exam.csv</v>
      </c>
      <c r="B1001" s="6" t="str">
        <f>'02-variable-info'!B1001</f>
        <v>handPreference</v>
      </c>
      <c r="C1001" s="6" t="str">
        <f>'02-variable-info'!M1001</f>
        <v>handPreference</v>
      </c>
      <c r="D1001" s="6" t="str">
        <f>'02-variable-info'!H1001</f>
        <v>ordinal</v>
      </c>
    </row>
    <row r="1002">
      <c r="A1002" s="6" t="str">
        <f>'02-variable-info'!A1002</f>
        <v>20-03-medical-exam.csv</v>
      </c>
      <c r="B1002" s="6" t="str">
        <f>'02-variable-info'!B1002</f>
        <v>protectiveReaction</v>
      </c>
      <c r="C1002" s="6" t="str">
        <f>'02-variable-info'!M1002</f>
        <v>protectiveReaction</v>
      </c>
      <c r="D1002" s="6" t="str">
        <f>'02-variable-info'!H1002</f>
        <v>ordinal</v>
      </c>
    </row>
    <row r="1003">
      <c r="A1003" s="6" t="str">
        <f>'02-variable-info'!A1003</f>
        <v>20-03-medical-exam.csv</v>
      </c>
      <c r="B1003" s="6" t="str">
        <f>'02-variable-info'!B1003</f>
        <v>limbMovementUpperLimb</v>
      </c>
      <c r="C1003" s="6" t="str">
        <f>'02-variable-info'!M1003</f>
        <v>limbMovement</v>
      </c>
      <c r="D1003" s="6" t="str">
        <f>'02-variable-info'!H1003</f>
        <v>ordinal</v>
      </c>
    </row>
    <row r="1004">
      <c r="A1004" s="6" t="str">
        <f>'02-variable-info'!A1004</f>
        <v>20-03-medical-exam.csv</v>
      </c>
      <c r="B1004" s="6" t="str">
        <f>'02-variable-info'!B1004</f>
        <v>limbMovementLowerLimb</v>
      </c>
      <c r="C1004" s="6" t="str">
        <f>'02-variable-info'!M1004</f>
        <v>limbMovement</v>
      </c>
      <c r="D1004" s="6" t="str">
        <f>'02-variable-info'!H1004</f>
        <v>ordinal</v>
      </c>
    </row>
    <row r="1005">
      <c r="A1005" s="6" t="str">
        <f>'02-variable-info'!A1005</f>
        <v>20-03-medical-exam.csv</v>
      </c>
      <c r="B1005" s="6" t="str">
        <f>'02-variable-info'!B1005</f>
        <v>deepTendonReflexUpperExtremityRight</v>
      </c>
      <c r="C1005" s="6" t="str">
        <f>'02-variable-info'!M1005</f>
        <v>deepTendonReflex</v>
      </c>
      <c r="D1005" s="6" t="str">
        <f>'02-variable-info'!H1005</f>
        <v>ordinal</v>
      </c>
    </row>
    <row r="1006">
      <c r="A1006" s="6" t="str">
        <f>'02-variable-info'!A1006</f>
        <v>20-03-medical-exam.csv</v>
      </c>
      <c r="B1006" s="6" t="str">
        <f>'02-variable-info'!B1006</f>
        <v>deepTendonReflexUpperExtremityLeft</v>
      </c>
      <c r="C1006" s="6" t="str">
        <f>'02-variable-info'!M1006</f>
        <v>deepTendonReflex</v>
      </c>
      <c r="D1006" s="6" t="str">
        <f>'02-variable-info'!H1006</f>
        <v>ordinal</v>
      </c>
    </row>
    <row r="1007">
      <c r="A1007" s="6" t="str">
        <f>'02-variable-info'!A1007</f>
        <v>20-03-medical-exam.csv</v>
      </c>
      <c r="B1007" s="6" t="str">
        <f>'02-variable-info'!B1007</f>
        <v>deepTendonReflexKneeRight</v>
      </c>
      <c r="C1007" s="6" t="str">
        <f>'02-variable-info'!M1007</f>
        <v>deepTendonReflex</v>
      </c>
      <c r="D1007" s="6" t="str">
        <f>'02-variable-info'!H1007</f>
        <v>ordinal</v>
      </c>
    </row>
    <row r="1008">
      <c r="A1008" s="6" t="str">
        <f>'02-variable-info'!A1008</f>
        <v>20-03-medical-exam.csv</v>
      </c>
      <c r="B1008" s="6" t="str">
        <f>'02-variable-info'!B1008</f>
        <v>deepTendonReflexKneeLeft</v>
      </c>
      <c r="C1008" s="6" t="str">
        <f>'02-variable-info'!M1008</f>
        <v>deepTendonReflex</v>
      </c>
      <c r="D1008" s="6" t="str">
        <f>'02-variable-info'!H1008</f>
        <v>ordinal</v>
      </c>
    </row>
    <row r="1009">
      <c r="A1009" s="6" t="str">
        <f>'02-variable-info'!A1009</f>
        <v>20-03-medical-exam.csv</v>
      </c>
      <c r="B1009" s="6" t="str">
        <f>'02-variable-info'!B1009</f>
        <v>deepTendonReflexAnkleRight</v>
      </c>
      <c r="C1009" s="6" t="str">
        <f>'02-variable-info'!M1009</f>
        <v>deepTendonReflex</v>
      </c>
      <c r="D1009" s="6" t="str">
        <f>'02-variable-info'!H1009</f>
        <v>ordinal</v>
      </c>
    </row>
    <row r="1010">
      <c r="A1010" s="6" t="str">
        <f>'02-variable-info'!A1010</f>
        <v>20-03-medical-exam.csv</v>
      </c>
      <c r="B1010" s="6" t="str">
        <f>'02-variable-info'!B1010</f>
        <v>deepTendonReflexAnkleLeft</v>
      </c>
      <c r="C1010" s="6" t="str">
        <f>'02-variable-info'!M1010</f>
        <v>deepTendonReflex</v>
      </c>
      <c r="D1010" s="6" t="str">
        <f>'02-variable-info'!H1010</f>
        <v>ordinal</v>
      </c>
    </row>
    <row r="1011">
      <c r="A1011" s="6" t="str">
        <f>'02-variable-info'!A1011</f>
        <v>20-03-medical-exam.csv</v>
      </c>
      <c r="B1011" s="6" t="str">
        <f>'02-variable-info'!B1011</f>
        <v>ankleClonusRight</v>
      </c>
      <c r="C1011" s="6" t="str">
        <f>'02-variable-info'!M1011</f>
        <v>ankleClonus</v>
      </c>
      <c r="D1011" s="6" t="str">
        <f>'02-variable-info'!H1011</f>
        <v>ordinal</v>
      </c>
    </row>
    <row r="1012">
      <c r="A1012" s="6" t="str">
        <f>'02-variable-info'!A1012</f>
        <v>20-03-medical-exam.csv</v>
      </c>
      <c r="B1012" s="6" t="str">
        <f>'02-variable-info'!B1012</f>
        <v>ankleClonusLeft</v>
      </c>
      <c r="C1012" s="6" t="str">
        <f>'02-variable-info'!M1012</f>
        <v>ankleClonus</v>
      </c>
      <c r="D1012" s="6" t="str">
        <f>'02-variable-info'!H1012</f>
        <v>ordinal</v>
      </c>
    </row>
    <row r="1013">
      <c r="A1013" s="6" t="str">
        <f>'02-variable-info'!A1013</f>
        <v>20-03-medical-exam.csv</v>
      </c>
      <c r="B1013" s="6" t="str">
        <f>'02-variable-info'!B1013</f>
        <v>plantarReflexRight</v>
      </c>
      <c r="C1013" s="6" t="str">
        <f>'02-variable-info'!M1013</f>
        <v>plantarReflex</v>
      </c>
      <c r="D1013" s="6" t="str">
        <f>'02-variable-info'!H1013</f>
        <v>nomial</v>
      </c>
    </row>
    <row r="1014">
      <c r="A1014" s="6" t="str">
        <f>'02-variable-info'!A1014</f>
        <v>20-03-medical-exam.csv</v>
      </c>
      <c r="B1014" s="6" t="str">
        <f>'02-variable-info'!B1014</f>
        <v>plantarReflexLeft</v>
      </c>
      <c r="C1014" s="6" t="str">
        <f>'02-variable-info'!M1014</f>
        <v>plantarReflex</v>
      </c>
      <c r="D1014" s="6" t="str">
        <f>'02-variable-info'!H1014</f>
        <v>nomial</v>
      </c>
    </row>
    <row r="1015">
      <c r="A1015" s="6" t="str">
        <f>'02-variable-info'!A1015</f>
        <v>20-03-medical-exam.csv</v>
      </c>
      <c r="B1015" s="6" t="str">
        <f>'02-variable-info'!B1015</f>
        <v>axisHeadNeck</v>
      </c>
      <c r="C1015" s="6" t="str">
        <f>'02-variable-info'!M1015</f>
        <v>axisHeadNeck</v>
      </c>
      <c r="D1015" s="6" t="str">
        <f>'02-variable-info'!H1015</f>
        <v>ordinal</v>
      </c>
    </row>
    <row r="1016">
      <c r="A1016" s="6" t="str">
        <f>'02-variable-info'!A1016</f>
        <v>20-03-medical-exam.csv</v>
      </c>
      <c r="B1016" s="6" t="str">
        <f>'02-variable-info'!B1016</f>
        <v>axisTrunk</v>
      </c>
      <c r="C1016" s="6" t="str">
        <f>'02-variable-info'!M1016</f>
        <v>axisTrunk</v>
      </c>
      <c r="D1016" s="6" t="str">
        <f>'02-variable-info'!H1016</f>
        <v>ordinal</v>
      </c>
    </row>
    <row r="1017">
      <c r="A1017" s="6" t="str">
        <f>'02-variable-info'!A1017</f>
        <v>20-03-medical-exam.csv</v>
      </c>
      <c r="B1017" s="6" t="str">
        <f>'02-variable-info'!B1017</f>
        <v>lowerLimbFunction</v>
      </c>
      <c r="C1017" s="6" t="str">
        <f>'02-variable-info'!M1017</f>
        <v>lowerLimbFunction</v>
      </c>
      <c r="D1017" s="6" t="str">
        <f>'02-variable-info'!H1017</f>
        <v>ordinal</v>
      </c>
    </row>
    <row r="1018">
      <c r="A1018" s="6" t="str">
        <f>'02-variable-info'!A1018</f>
        <v>20-03-medical-exam.csv</v>
      </c>
      <c r="B1018" s="6" t="str">
        <f>'02-variable-info'!B1018</f>
        <v>upperLimbFunction</v>
      </c>
      <c r="C1018" s="6" t="str">
        <f>'02-variable-info'!M1018</f>
        <v>upperLimbFunction</v>
      </c>
      <c r="D1018" s="6" t="str">
        <f>'02-variable-info'!H1018</f>
        <v>ordinal</v>
      </c>
    </row>
    <row r="1019">
      <c r="A1019" s="6" t="str">
        <f>'02-variable-info'!A1019</f>
        <v>20-03-medical-exam.csv</v>
      </c>
      <c r="B1019" s="6" t="str">
        <f>'02-variable-info'!B1019</f>
        <v>handFunctionRight</v>
      </c>
      <c r="C1019" s="6" t="str">
        <f>'02-variable-info'!M1019</f>
        <v>handFunction</v>
      </c>
      <c r="D1019" s="6" t="str">
        <f>'02-variable-info'!H1019</f>
        <v>ordinal</v>
      </c>
    </row>
    <row r="1020">
      <c r="A1020" s="6" t="str">
        <f>'02-variable-info'!A1020</f>
        <v>20-03-medical-exam.csv</v>
      </c>
      <c r="B1020" s="6" t="str">
        <f>'02-variable-info'!B1020</f>
        <v>handFunctionLeft</v>
      </c>
      <c r="C1020" s="6" t="str">
        <f>'02-variable-info'!M1020</f>
        <v>handFunction</v>
      </c>
      <c r="D1020" s="6" t="str">
        <f>'02-variable-info'!H1020</f>
        <v>ordinal</v>
      </c>
    </row>
    <row r="1021">
      <c r="A1021" s="6" t="str">
        <f>'02-variable-info'!A1021</f>
        <v>20-03-medical-exam.csv</v>
      </c>
      <c r="B1021" s="6" t="str">
        <f>'02-variable-info'!B1021</f>
        <v>neuralNormal</v>
      </c>
      <c r="C1021" s="6" t="str">
        <f>'02-variable-info'!M1021</f>
        <v>bool</v>
      </c>
      <c r="D1021" s="6" t="str">
        <f>'02-variable-info'!H1021</f>
        <v>boolean</v>
      </c>
    </row>
    <row r="1022">
      <c r="A1022" s="6" t="str">
        <f>'02-variable-info'!A1022</f>
        <v>20-03-medical-exam.csv</v>
      </c>
      <c r="B1022" s="6" t="str">
        <f>'02-variable-info'!B1022</f>
        <v>generalizedHypotonia</v>
      </c>
      <c r="C1022" s="6" t="str">
        <f>'02-variable-info'!M1022</f>
        <v>bool</v>
      </c>
      <c r="D1022" s="6" t="str">
        <f>'02-variable-info'!H1022</f>
        <v>boolean</v>
      </c>
    </row>
    <row r="1023">
      <c r="A1023" s="6" t="str">
        <f>'02-variable-info'!A1023</f>
        <v>20-03-medical-exam.csv</v>
      </c>
      <c r="B1023" s="6" t="str">
        <f>'02-variable-info'!B1023</f>
        <v>hypertonia</v>
      </c>
      <c r="C1023" s="6" t="str">
        <f>'02-variable-info'!M1023</f>
        <v>bool</v>
      </c>
      <c r="D1023" s="6" t="str">
        <f>'02-variable-info'!H1023</f>
        <v>boolean</v>
      </c>
    </row>
    <row r="1024">
      <c r="A1024" s="6" t="str">
        <f>'02-variable-info'!A1024</f>
        <v>20-03-medical-exam.csv</v>
      </c>
      <c r="B1024" s="6" t="str">
        <f>'02-variable-info'!B1024</f>
        <v>neuralOther</v>
      </c>
      <c r="C1024" s="6" t="str">
        <f>'02-variable-info'!M1024</f>
        <v>bool</v>
      </c>
      <c r="D1024" s="6" t="str">
        <f>'02-variable-info'!H1024</f>
        <v>boolean</v>
      </c>
    </row>
    <row r="1025">
      <c r="A1025" s="6" t="str">
        <f>'02-variable-info'!A1025</f>
        <v>20-03-medical-exam.csv</v>
      </c>
      <c r="B1025" s="6" t="str">
        <f>'02-variable-info'!B1025</f>
        <v>neuralOtherText</v>
      </c>
      <c r="C1025" s="6" t="str">
        <f>'02-variable-info'!M1025</f>
        <v>text</v>
      </c>
      <c r="D1025" s="6" t="str">
        <f>'02-variable-info'!H1025</f>
        <v>text</v>
      </c>
    </row>
    <row r="1026">
      <c r="A1026" s="6" t="str">
        <f>'02-variable-info'!A1026</f>
        <v>20-03-medical-exam.csv</v>
      </c>
      <c r="B1026" s="6" t="str">
        <f>'02-variable-info'!B1026</f>
        <v>spasticDiplegia</v>
      </c>
      <c r="C1026" s="6" t="str">
        <f>'02-variable-info'!M1026</f>
        <v>bool</v>
      </c>
      <c r="D1026" s="6" t="str">
        <f>'02-variable-info'!H1026</f>
        <v>boolean</v>
      </c>
    </row>
    <row r="1027">
      <c r="A1027" s="6" t="str">
        <f>'02-variable-info'!A1027</f>
        <v>20-03-medical-exam.csv</v>
      </c>
      <c r="B1027" s="6" t="str">
        <f>'02-variable-info'!B1027</f>
        <v>spasticHemiplegiaRight</v>
      </c>
      <c r="C1027" s="6" t="str">
        <f>'02-variable-info'!M1027</f>
        <v>bool</v>
      </c>
      <c r="D1027" s="6" t="str">
        <f>'02-variable-info'!H1027</f>
        <v>boolean</v>
      </c>
    </row>
    <row r="1028">
      <c r="A1028" s="6" t="str">
        <f>'02-variable-info'!A1028</f>
        <v>20-03-medical-exam.csv</v>
      </c>
      <c r="B1028" s="6" t="str">
        <f>'02-variable-info'!B1028</f>
        <v>spasticHemiplegiaLeft</v>
      </c>
      <c r="C1028" s="6" t="str">
        <f>'02-variable-info'!M1028</f>
        <v>bool</v>
      </c>
      <c r="D1028" s="6" t="str">
        <f>'02-variable-info'!H1028</f>
        <v>boolean</v>
      </c>
    </row>
    <row r="1029">
      <c r="A1029" s="6" t="str">
        <f>'02-variable-info'!A1029</f>
        <v>20-03-medical-exam.csv</v>
      </c>
      <c r="B1029" s="6" t="str">
        <f>'02-variable-info'!B1029</f>
        <v>spasticQuadriplegia</v>
      </c>
      <c r="C1029" s="6" t="str">
        <f>'02-variable-info'!M1029</f>
        <v>bool</v>
      </c>
      <c r="D1029" s="6" t="str">
        <f>'02-variable-info'!H1029</f>
        <v>boolean</v>
      </c>
    </row>
    <row r="1030">
      <c r="A1030" s="6" t="str">
        <f>'02-variable-info'!A1030</f>
        <v>20-03-medical-exam.csv</v>
      </c>
      <c r="B1030" s="6" t="str">
        <f>'02-variable-info'!B1030</f>
        <v>spasticTriplegia</v>
      </c>
      <c r="C1030" s="6" t="str">
        <f>'02-variable-info'!M1030</f>
        <v>bool</v>
      </c>
      <c r="D1030" s="6" t="str">
        <f>'02-variable-info'!H1030</f>
        <v>boolean</v>
      </c>
    </row>
    <row r="1031">
      <c r="A1031" s="6" t="str">
        <f>'02-variable-info'!A1031</f>
        <v>20-03-medical-exam.csv</v>
      </c>
      <c r="B1031" s="6" t="str">
        <f>'02-variable-info'!B1031</f>
        <v>dystonia</v>
      </c>
      <c r="C1031" s="6" t="str">
        <f>'02-variable-info'!M1031</f>
        <v>bool</v>
      </c>
      <c r="D1031" s="6" t="str">
        <f>'02-variable-info'!H1031</f>
        <v>boolean</v>
      </c>
    </row>
    <row r="1032">
      <c r="A1032" s="6" t="str">
        <f>'02-variable-info'!A1032</f>
        <v>20-03-medical-exam.csv</v>
      </c>
      <c r="B1032" s="6" t="str">
        <f>'02-variable-info'!B1032</f>
        <v>athetosis</v>
      </c>
      <c r="C1032" s="6" t="str">
        <f>'02-variable-info'!M1032</f>
        <v>bool</v>
      </c>
      <c r="D1032" s="6" t="str">
        <f>'02-variable-info'!H1032</f>
        <v>boolean</v>
      </c>
    </row>
    <row r="1033">
      <c r="A1033" s="6" t="str">
        <f>'02-variable-info'!A1033</f>
        <v>20-03-medical-exam.csv</v>
      </c>
      <c r="B1033" s="6" t="str">
        <f>'02-variable-info'!B1033</f>
        <v>athetosisDystonia</v>
      </c>
      <c r="C1033" s="6" t="str">
        <f>'02-variable-info'!M1033</f>
        <v>bool</v>
      </c>
      <c r="D1033" s="6" t="str">
        <f>'02-variable-info'!H1033</f>
        <v>boolean</v>
      </c>
    </row>
    <row r="1034">
      <c r="A1034" s="6" t="str">
        <f>'02-variable-info'!A1034</f>
        <v>20-03-medical-exam.csv</v>
      </c>
      <c r="B1034" s="6" t="str">
        <f>'02-variable-info'!B1034</f>
        <v>hypotoniaAtaxia</v>
      </c>
      <c r="C1034" s="6" t="str">
        <f>'02-variable-info'!M1034</f>
        <v>bool</v>
      </c>
      <c r="D1034" s="6" t="str">
        <f>'02-variable-info'!H1034</f>
        <v>boolean</v>
      </c>
    </row>
    <row r="1035">
      <c r="A1035" s="6" t="str">
        <f>'02-variable-info'!A1035</f>
        <v>20-03-medical-exam.csv</v>
      </c>
      <c r="B1035" s="6" t="str">
        <f>'02-variable-info'!B1035</f>
        <v>spasticMonoplegia</v>
      </c>
      <c r="C1035" s="6" t="str">
        <f>'02-variable-info'!M1035</f>
        <v>bool</v>
      </c>
      <c r="D1035" s="6" t="str">
        <f>'02-variable-info'!H1035</f>
        <v>boolean</v>
      </c>
    </row>
    <row r="1036">
      <c r="A1036" s="6" t="str">
        <f>'02-variable-info'!A1036</f>
        <v>20-03-medical-exam.csv</v>
      </c>
      <c r="B1036" s="6" t="str">
        <f>'02-variable-info'!B1036</f>
        <v>mixedCerebralPalsy</v>
      </c>
      <c r="C1036" s="6" t="str">
        <f>'02-variable-info'!M1036</f>
        <v>bool</v>
      </c>
      <c r="D1036" s="6" t="str">
        <f>'02-variable-info'!H1036</f>
        <v>boolean</v>
      </c>
    </row>
    <row r="1037">
      <c r="A1037" s="6" t="str">
        <f>'02-variable-info'!A1037</f>
        <v>20-03-medical-exam.csv</v>
      </c>
      <c r="B1037" s="6" t="str">
        <f>'02-variable-info'!B1037</f>
        <v>cerebralPalsyUnclassified</v>
      </c>
      <c r="C1037" s="6" t="str">
        <f>'02-variable-info'!M1037</f>
        <v>bool</v>
      </c>
      <c r="D1037" s="6" t="str">
        <f>'02-variable-info'!H1037</f>
        <v>boolean</v>
      </c>
    </row>
    <row r="1038">
      <c r="A1038" s="6" t="str">
        <f>'02-variable-info'!A1038</f>
        <v>20-03-medical-exam.csv</v>
      </c>
      <c r="B1038" s="6" t="str">
        <f>'02-variable-info'!B1038</f>
        <v>cerebralPalsyUnclassifiedText</v>
      </c>
      <c r="C1038" s="6" t="str">
        <f>'02-variable-info'!M1038</f>
        <v>text</v>
      </c>
      <c r="D1038" s="6" t="str">
        <f>'02-variable-info'!H1038</f>
        <v>text</v>
      </c>
    </row>
    <row r="1039">
      <c r="A1039" s="6" t="str">
        <f>'02-variable-info'!A1039</f>
        <v>20-03-medical-exam.csv</v>
      </c>
      <c r="B1039" s="6" t="str">
        <f>'02-variable-info'!B1039</f>
        <v>cerebralPalsy</v>
      </c>
      <c r="C1039" s="6" t="str">
        <f>'02-variable-info'!M1039</f>
        <v>bool</v>
      </c>
      <c r="D1039" s="6" t="str">
        <f>'02-variable-info'!H1039</f>
        <v>boolean</v>
      </c>
    </row>
    <row r="1040">
      <c r="A1040" s="6" t="str">
        <f>'02-variable-info'!A1040</f>
        <v>20-03-medical-exam.csv</v>
      </c>
      <c r="B1040" s="6" t="str">
        <f>'02-variable-info'!B1040</f>
        <v>cerebralPalsyClass</v>
      </c>
      <c r="C1040" s="6" t="str">
        <f>'02-variable-info'!M1040</f>
        <v>cerebralPalsyClass</v>
      </c>
      <c r="D1040" s="6" t="str">
        <f>'02-variable-info'!H1040</f>
        <v>ordinal</v>
      </c>
    </row>
    <row r="1041">
      <c r="A1041" s="6" t="str">
        <f>'02-variable-info'!A1041</f>
        <v>20-03-medical-exam.csv</v>
      </c>
      <c r="B1041" s="6" t="str">
        <f>'02-variable-info'!B1041</f>
        <v>abrnomalityAffectingNeuroAssessment</v>
      </c>
      <c r="C1041" s="6" t="str">
        <f>'02-variable-info'!M1041</f>
        <v>bool</v>
      </c>
      <c r="D1041" s="6" t="str">
        <f>'02-variable-info'!H1041</f>
        <v>boolean</v>
      </c>
    </row>
    <row r="1042">
      <c r="A1042" s="6" t="str">
        <f>'02-variable-info'!A1042</f>
        <v>20-03-medical-exam.csv</v>
      </c>
      <c r="B1042" s="6" t="str">
        <f>'02-variable-info'!B1042</f>
        <v>abrnomalityAffectingNeuroAssessmentText</v>
      </c>
      <c r="C1042" s="6" t="str">
        <f>'02-variable-info'!M1042</f>
        <v>text</v>
      </c>
      <c r="D1042" s="6" t="str">
        <f>'02-variable-info'!H1042</f>
        <v>text</v>
      </c>
    </row>
    <row r="1043">
      <c r="A1043" s="6" t="str">
        <f>'02-variable-info'!A1043</f>
        <v>20-03-medical-exam.csv</v>
      </c>
      <c r="B1043" s="6" t="str">
        <f>'02-variable-info'!B1043</f>
        <v>examWhere</v>
      </c>
      <c r="C1043" s="6" t="str">
        <f>'02-variable-info'!M1043</f>
        <v>interviewLocation</v>
      </c>
      <c r="D1043" s="6" t="str">
        <f>'02-variable-info'!H1043</f>
        <v>nomial</v>
      </c>
    </row>
    <row r="1044">
      <c r="A1044" s="6" t="str">
        <f>'02-variable-info'!A1044</f>
        <v>20-03-medical-exam.csv</v>
      </c>
      <c r="B1044" s="6" t="str">
        <f>'02-variable-info'!B1044</f>
        <v>examWhereOtherText</v>
      </c>
      <c r="C1044" s="6" t="str">
        <f>'02-variable-info'!M1044</f>
        <v>text</v>
      </c>
      <c r="D1044" s="6" t="str">
        <f>'02-variable-info'!H1044</f>
        <v>text</v>
      </c>
    </row>
    <row r="1045">
      <c r="A1045" s="6" t="str">
        <f>'02-variable-info'!A1045</f>
        <v>20-03-medical-exam.csv</v>
      </c>
      <c r="B1045" s="6" t="str">
        <f>'02-variable-info'!B1045</f>
        <v>examQuality</v>
      </c>
      <c r="C1045" s="6" t="str">
        <f>'02-variable-info'!M1045</f>
        <v>examQuality</v>
      </c>
      <c r="D1045" s="6" t="str">
        <f>'02-variable-info'!H1045</f>
        <v>ordinal</v>
      </c>
    </row>
    <row r="1046">
      <c r="A1046" s="6" t="str">
        <f>'02-variable-info'!A1046</f>
        <v>20-03-medical-exam.csv</v>
      </c>
      <c r="B1046" s="6" t="str">
        <f>'02-variable-info'!B1046</f>
        <v>examFactorAffecting</v>
      </c>
      <c r="C1046" s="6" t="str">
        <f>'02-variable-info'!M1046</f>
        <v>examFactorAffecting</v>
      </c>
      <c r="D1046" s="6" t="str">
        <f>'02-variable-info'!H1046</f>
        <v>nomial</v>
      </c>
    </row>
    <row r="1047">
      <c r="A1047" s="6" t="str">
        <f>'02-variable-info'!A1047</f>
        <v>20-03-medical-exam.csv</v>
      </c>
      <c r="B1047" s="6" t="str">
        <f>'02-variable-info'!B1047</f>
        <v>examFactorAffectingText</v>
      </c>
      <c r="C1047" s="6" t="str">
        <f>'02-variable-info'!M1047</f>
        <v>text</v>
      </c>
      <c r="D1047" s="6" t="str">
        <f>'02-variable-info'!H1047</f>
        <v>text</v>
      </c>
    </row>
    <row r="1048">
      <c r="A1048" s="6" t="str">
        <f>'02-variable-info'!A1048</f>
        <v>20-03-medical-exam.csv</v>
      </c>
      <c r="B1048" s="6" t="str">
        <f>'02-variable-info'!B1048</f>
        <v>examCompleteDate</v>
      </c>
      <c r="C1048" s="6" t="str">
        <f>'02-variable-info'!M1048</f>
        <v>date</v>
      </c>
      <c r="D1048" s="6" t="str">
        <f>'02-variable-info'!H1048</f>
        <v>date</v>
      </c>
    </row>
    <row r="1049">
      <c r="A1049" s="6" t="str">
        <f>'02-variable-info'!A1049</f>
        <v>20-04-bayley-iii.csv</v>
      </c>
      <c r="B1049" s="6" t="str">
        <f>'02-variable-info'!B1049</f>
        <v>BayleyIIICognitiveSubtest</v>
      </c>
      <c r="C1049" s="6" t="str">
        <f>'02-variable-info'!M1049</f>
        <v>bool</v>
      </c>
      <c r="D1049" s="6" t="str">
        <f>'02-variable-info'!H1049</f>
        <v>boolean</v>
      </c>
    </row>
    <row r="1050">
      <c r="A1050" s="6" t="str">
        <f>'02-variable-info'!A1050</f>
        <v>20-04-bayley-iii.csv</v>
      </c>
      <c r="B1050" s="6" t="str">
        <f>'02-variable-info'!B1050</f>
        <v>BayleyIIIReasonNoSuccessCognitiveSubtest</v>
      </c>
      <c r="C1050" s="6" t="str">
        <f>'02-variable-info'!M1050</f>
        <v>BayleyIIIReasonNoSuccess</v>
      </c>
      <c r="D1050" s="6" t="str">
        <f>'02-variable-info'!H1050</f>
        <v>nomial</v>
      </c>
    </row>
    <row r="1051">
      <c r="A1051" s="6" t="str">
        <f>'02-variable-info'!A1051</f>
        <v>20-04-bayley-iii.csv</v>
      </c>
      <c r="B1051" s="6" t="str">
        <f>'02-variable-info'!B1051</f>
        <v>BayleyIIIReasonNoSuccessCognitiveSubtestText</v>
      </c>
      <c r="C1051" s="6" t="str">
        <f>'02-variable-info'!M1051</f>
        <v>text</v>
      </c>
      <c r="D1051" s="6" t="str">
        <f>'02-variable-info'!H1051</f>
        <v>text</v>
      </c>
    </row>
    <row r="1052">
      <c r="A1052" s="6" t="str">
        <f>'02-variable-info'!A1052</f>
        <v>20-04-bayley-iii.csv</v>
      </c>
      <c r="B1052" s="6" t="str">
        <f>'02-variable-info'!B1052</f>
        <v>BayleyIIILanguageReceptiveSubtest</v>
      </c>
      <c r="C1052" s="6" t="str">
        <f>'02-variable-info'!M1052</f>
        <v>bool</v>
      </c>
      <c r="D1052" s="6" t="str">
        <f>'02-variable-info'!H1052</f>
        <v>boolean</v>
      </c>
    </row>
    <row r="1053">
      <c r="A1053" s="6" t="str">
        <f>'02-variable-info'!A1053</f>
        <v>20-04-bayley-iii.csv</v>
      </c>
      <c r="B1053" s="6" t="str">
        <f>'02-variable-info'!B1053</f>
        <v>BayleyIIIReasonNoSuccessLanguageReceptiveSubtest</v>
      </c>
      <c r="C1053" s="6" t="str">
        <f>'02-variable-info'!M1053</f>
        <v>BayleyIIIReasonNoSuccess</v>
      </c>
      <c r="D1053" s="6" t="str">
        <f>'02-variable-info'!H1053</f>
        <v>nomial</v>
      </c>
    </row>
    <row r="1054">
      <c r="A1054" s="6" t="str">
        <f>'02-variable-info'!A1054</f>
        <v>20-04-bayley-iii.csv</v>
      </c>
      <c r="B1054" s="6" t="str">
        <f>'02-variable-info'!B1054</f>
        <v>BayleyIIIReasonNoSuccessLanguageReceptiveSubtestText</v>
      </c>
      <c r="C1054" s="6" t="str">
        <f>'02-variable-info'!M1054</f>
        <v>text</v>
      </c>
      <c r="D1054" s="6" t="str">
        <f>'02-variable-info'!H1054</f>
        <v>text</v>
      </c>
    </row>
    <row r="1055">
      <c r="A1055" s="6" t="str">
        <f>'02-variable-info'!A1055</f>
        <v>20-04-bayley-iii.csv</v>
      </c>
      <c r="B1055" s="6" t="str">
        <f>'02-variable-info'!B1055</f>
        <v>BayleyIIILanguageExpressiveSubtest</v>
      </c>
      <c r="C1055" s="6" t="str">
        <f>'02-variable-info'!M1055</f>
        <v>bool</v>
      </c>
      <c r="D1055" s="6" t="str">
        <f>'02-variable-info'!H1055</f>
        <v>boolean</v>
      </c>
    </row>
    <row r="1056">
      <c r="A1056" s="6" t="str">
        <f>'02-variable-info'!A1056</f>
        <v>20-04-bayley-iii.csv</v>
      </c>
      <c r="B1056" s="6" t="str">
        <f>'02-variable-info'!B1056</f>
        <v>BayleyIIIReasonNoSuccessLanguageExpressiveSubtest</v>
      </c>
      <c r="C1056" s="6" t="str">
        <f>'02-variable-info'!M1056</f>
        <v>BayleyIIIReasonNoSuccess</v>
      </c>
      <c r="D1056" s="6" t="str">
        <f>'02-variable-info'!H1056</f>
        <v>nomial</v>
      </c>
    </row>
    <row r="1057">
      <c r="A1057" s="6" t="str">
        <f>'02-variable-info'!A1057</f>
        <v>20-04-bayley-iii.csv</v>
      </c>
      <c r="B1057" s="6" t="str">
        <f>'02-variable-info'!B1057</f>
        <v>BayleyIIIReasonNoSuccessLanguageExpressiveSubtestText</v>
      </c>
      <c r="C1057" s="6" t="str">
        <f>'02-variable-info'!M1057</f>
        <v>text</v>
      </c>
      <c r="D1057" s="6" t="str">
        <f>'02-variable-info'!H1057</f>
        <v>text</v>
      </c>
    </row>
    <row r="1058">
      <c r="A1058" s="6" t="str">
        <f>'02-variable-info'!A1058</f>
        <v>20-04-bayley-iii.csv</v>
      </c>
      <c r="B1058" s="6" t="str">
        <f>'02-variable-info'!B1058</f>
        <v>BayleyIIIMotorFineSubtest</v>
      </c>
      <c r="C1058" s="6" t="str">
        <f>'02-variable-info'!M1058</f>
        <v>bool</v>
      </c>
      <c r="D1058" s="6" t="str">
        <f>'02-variable-info'!H1058</f>
        <v>boolean</v>
      </c>
    </row>
    <row r="1059">
      <c r="A1059" s="6" t="str">
        <f>'02-variable-info'!A1059</f>
        <v>20-04-bayley-iii.csv</v>
      </c>
      <c r="B1059" s="6" t="str">
        <f>'02-variable-info'!B1059</f>
        <v>BayleyIIIReasonNoSuccessMotorFineSubtest</v>
      </c>
      <c r="C1059" s="6" t="str">
        <f>'02-variable-info'!M1059</f>
        <v>BayleyIIIReasonNoSuccess</v>
      </c>
      <c r="D1059" s="6" t="str">
        <f>'02-variable-info'!H1059</f>
        <v>nomial</v>
      </c>
    </row>
    <row r="1060">
      <c r="A1060" s="6" t="str">
        <f>'02-variable-info'!A1060</f>
        <v>20-04-bayley-iii.csv</v>
      </c>
      <c r="B1060" s="6" t="str">
        <f>'02-variable-info'!B1060</f>
        <v>BayleyIIIReasonNoSuccessMotorFineSubtestText</v>
      </c>
      <c r="C1060" s="6" t="str">
        <f>'02-variable-info'!M1060</f>
        <v>text</v>
      </c>
      <c r="D1060" s="6" t="str">
        <f>'02-variable-info'!H1060</f>
        <v>text</v>
      </c>
    </row>
    <row r="1061">
      <c r="A1061" s="6" t="str">
        <f>'02-variable-info'!A1061</f>
        <v>20-04-bayley-iii.csv</v>
      </c>
      <c r="B1061" s="6" t="str">
        <f>'02-variable-info'!B1061</f>
        <v>BayleyIIIMotorGrossSubtest</v>
      </c>
      <c r="C1061" s="6" t="str">
        <f>'02-variable-info'!M1061</f>
        <v>bool</v>
      </c>
      <c r="D1061" s="6" t="str">
        <f>'02-variable-info'!H1061</f>
        <v>boolean</v>
      </c>
    </row>
    <row r="1062">
      <c r="A1062" s="6" t="str">
        <f>'02-variable-info'!A1062</f>
        <v>20-04-bayley-iii.csv</v>
      </c>
      <c r="B1062" s="6" t="str">
        <f>'02-variable-info'!B1062</f>
        <v>BayleyIIIReasonNoSuccessMotorGrossSubtest</v>
      </c>
      <c r="C1062" s="6" t="str">
        <f>'02-variable-info'!M1062</f>
        <v>BayleyIIIReasonNoSuccess</v>
      </c>
      <c r="D1062" s="6" t="str">
        <f>'02-variable-info'!H1062</f>
        <v>nomial</v>
      </c>
    </row>
    <row r="1063">
      <c r="A1063" s="6" t="str">
        <f>'02-variable-info'!A1063</f>
        <v>20-04-bayley-iii.csv</v>
      </c>
      <c r="B1063" s="6" t="str">
        <f>'02-variable-info'!B1063</f>
        <v>BayleyIIIReasonNoSuccessMotorGrossSubtestText</v>
      </c>
      <c r="C1063" s="6" t="str">
        <f>'02-variable-info'!M1063</f>
        <v>text</v>
      </c>
      <c r="D1063" s="6" t="str">
        <f>'02-variable-info'!H1063</f>
        <v>text</v>
      </c>
    </row>
    <row r="1064">
      <c r="A1064" s="6" t="str">
        <f>'02-variable-info'!A1064</f>
        <v>20-04-bayley-iii.csv</v>
      </c>
      <c r="B1064" s="6" t="str">
        <f>'02-variable-info'!B1064</f>
        <v>BayleyIIIAdjustedAgeForCognitiveTest</v>
      </c>
      <c r="C1064" s="6" t="str">
        <f>'02-variable-info'!M1064</f>
        <v>int</v>
      </c>
      <c r="D1064" s="6" t="str">
        <f>'02-variable-info'!H1064</f>
        <v>number</v>
      </c>
    </row>
    <row r="1065">
      <c r="A1065" s="6" t="str">
        <f>'02-variable-info'!A1065</f>
        <v>20-04-bayley-iii.csv</v>
      </c>
      <c r="B1065" s="6" t="str">
        <f>'02-variable-info'!B1065</f>
        <v>BayleyIIIAdjustedAgeForReceptiveCommunication</v>
      </c>
      <c r="C1065" s="6" t="str">
        <f>'02-variable-info'!M1065</f>
        <v>int</v>
      </c>
      <c r="D1065" s="6" t="str">
        <f>'02-variable-info'!H1065</f>
        <v>number</v>
      </c>
    </row>
    <row r="1066">
      <c r="A1066" s="6" t="str">
        <f>'02-variable-info'!A1066</f>
        <v>20-04-bayley-iii.csv</v>
      </c>
      <c r="B1066" s="6" t="str">
        <f>'02-variable-info'!B1066</f>
        <v>BayleyIIIAdjustedAgeForExpressiveCommunication</v>
      </c>
      <c r="C1066" s="6" t="str">
        <f>'02-variable-info'!M1066</f>
        <v>int</v>
      </c>
      <c r="D1066" s="6" t="str">
        <f>'02-variable-info'!H1066</f>
        <v>number</v>
      </c>
    </row>
    <row r="1067">
      <c r="A1067" s="6" t="str">
        <f>'02-variable-info'!A1067</f>
        <v>20-04-bayley-iii.csv</v>
      </c>
      <c r="B1067" s="6" t="str">
        <f>'02-variable-info'!B1067</f>
        <v>BayleyIIIAdjustedAgeForMotorFineSubtest</v>
      </c>
      <c r="C1067" s="6" t="str">
        <f>'02-variable-info'!M1067</f>
        <v>int</v>
      </c>
      <c r="D1067" s="6" t="str">
        <f>'02-variable-info'!H1067</f>
        <v>number</v>
      </c>
    </row>
    <row r="1068">
      <c r="A1068" s="6" t="str">
        <f>'02-variable-info'!A1068</f>
        <v>20-04-bayley-iii.csv</v>
      </c>
      <c r="B1068" s="6" t="str">
        <f>'02-variable-info'!B1068</f>
        <v>BayleyIIIAdjustedAgeForMotorGrossSubtest</v>
      </c>
      <c r="C1068" s="6" t="str">
        <f>'02-variable-info'!M1068</f>
        <v>int</v>
      </c>
      <c r="D1068" s="6" t="str">
        <f>'02-variable-info'!H1068</f>
        <v>number</v>
      </c>
    </row>
    <row r="1069">
      <c r="A1069" s="6" t="str">
        <f>'02-variable-info'!A1069</f>
        <v>20-04-bayley-iii.csv</v>
      </c>
      <c r="B1069" s="6" t="str">
        <f>'02-variable-info'!B1069</f>
        <v>BayleyIIICognitiveRaw</v>
      </c>
      <c r="C1069" s="6" t="str">
        <f>'02-variable-info'!M1069</f>
        <v>int</v>
      </c>
      <c r="D1069" s="6" t="str">
        <f>'02-variable-info'!H1069</f>
        <v>number</v>
      </c>
    </row>
    <row r="1070">
      <c r="A1070" s="6" t="str">
        <f>'02-variable-info'!A1070</f>
        <v>20-04-bayley-iii.csv</v>
      </c>
      <c r="B1070" s="6" t="str">
        <f>'02-variable-info'!B1070</f>
        <v>BayleyIIICognitiveScale</v>
      </c>
      <c r="C1070" s="6" t="str">
        <f>'02-variable-info'!M1070</f>
        <v>int</v>
      </c>
      <c r="D1070" s="6" t="str">
        <f>'02-variable-info'!H1070</f>
        <v>number</v>
      </c>
    </row>
    <row r="1071">
      <c r="A1071" s="6" t="str">
        <f>'02-variable-info'!A1071</f>
        <v>20-04-bayley-iii.csv</v>
      </c>
      <c r="B1071" s="6" t="str">
        <f>'02-variable-info'!B1071</f>
        <v>BayleyIIICognitiveComposite</v>
      </c>
      <c r="C1071" s="6" t="str">
        <f>'02-variable-info'!M1071</f>
        <v>int</v>
      </c>
      <c r="D1071" s="6" t="str">
        <f>'02-variable-info'!H1071</f>
        <v>number</v>
      </c>
    </row>
    <row r="1072">
      <c r="A1072" s="6" t="str">
        <f>'02-variable-info'!A1072</f>
        <v>20-04-bayley-iii.csv</v>
      </c>
      <c r="B1072" s="6" t="str">
        <f>'02-variable-info'!B1072</f>
        <v>BayleyIIIReceptiveRaw</v>
      </c>
      <c r="C1072" s="6" t="str">
        <f>'02-variable-info'!M1072</f>
        <v>int</v>
      </c>
      <c r="D1072" s="6" t="str">
        <f>'02-variable-info'!H1072</f>
        <v>number</v>
      </c>
    </row>
    <row r="1073">
      <c r="A1073" s="6" t="str">
        <f>'02-variable-info'!A1073</f>
        <v>20-04-bayley-iii.csv</v>
      </c>
      <c r="B1073" s="6" t="str">
        <f>'02-variable-info'!B1073</f>
        <v>BayleyIIIReceptiveScale</v>
      </c>
      <c r="C1073" s="6" t="str">
        <f>'02-variable-info'!M1073</f>
        <v>int</v>
      </c>
      <c r="D1073" s="6" t="str">
        <f>'02-variable-info'!H1073</f>
        <v>number</v>
      </c>
    </row>
    <row r="1074">
      <c r="A1074" s="6" t="str">
        <f>'02-variable-info'!A1074</f>
        <v>20-04-bayley-iii.csv</v>
      </c>
      <c r="B1074" s="6" t="str">
        <f>'02-variable-info'!B1074</f>
        <v>BayleyIIIExpressiveRaw</v>
      </c>
      <c r="C1074" s="6" t="str">
        <f>'02-variable-info'!M1074</f>
        <v>int</v>
      </c>
      <c r="D1074" s="6" t="str">
        <f>'02-variable-info'!H1074</f>
        <v>number</v>
      </c>
    </row>
    <row r="1075">
      <c r="A1075" s="6" t="str">
        <f>'02-variable-info'!A1075</f>
        <v>20-04-bayley-iii.csv</v>
      </c>
      <c r="B1075" s="6" t="str">
        <f>'02-variable-info'!B1075</f>
        <v>BayleyIIIExpressiveScale</v>
      </c>
      <c r="C1075" s="6" t="str">
        <f>'02-variable-info'!M1075</f>
        <v>int</v>
      </c>
      <c r="D1075" s="6" t="str">
        <f>'02-variable-info'!H1075</f>
        <v>number</v>
      </c>
    </row>
    <row r="1076">
      <c r="A1076" s="6" t="str">
        <f>'02-variable-info'!A1076</f>
        <v>20-04-bayley-iii.csv</v>
      </c>
      <c r="B1076" s="6" t="str">
        <f>'02-variable-info'!B1076</f>
        <v>BayleyIIISumLanguageScore</v>
      </c>
      <c r="C1076" s="6" t="str">
        <f>'02-variable-info'!M1076</f>
        <v>int</v>
      </c>
      <c r="D1076" s="6" t="str">
        <f>'02-variable-info'!H1076</f>
        <v>number</v>
      </c>
    </row>
    <row r="1077">
      <c r="A1077" s="6" t="str">
        <f>'02-variable-info'!A1077</f>
        <v>20-04-bayley-iii.csv</v>
      </c>
      <c r="B1077" s="6" t="str">
        <f>'02-variable-info'!B1077</f>
        <v>BayleyIIILanguageComposite</v>
      </c>
      <c r="C1077" s="6" t="str">
        <f>'02-variable-info'!M1077</f>
        <v>int</v>
      </c>
      <c r="D1077" s="6" t="str">
        <f>'02-variable-info'!H1077</f>
        <v>number</v>
      </c>
    </row>
    <row r="1078">
      <c r="A1078" s="6" t="str">
        <f>'02-variable-info'!A1078</f>
        <v>20-04-bayley-iii.csv</v>
      </c>
      <c r="B1078" s="6" t="str">
        <f>'02-variable-info'!B1078</f>
        <v>BayleyIIIMotorFineRaw</v>
      </c>
      <c r="C1078" s="6" t="str">
        <f>'02-variable-info'!M1078</f>
        <v>int</v>
      </c>
      <c r="D1078" s="6" t="str">
        <f>'02-variable-info'!H1078</f>
        <v>number</v>
      </c>
    </row>
    <row r="1079">
      <c r="A1079" s="6" t="str">
        <f>'02-variable-info'!A1079</f>
        <v>20-04-bayley-iii.csv</v>
      </c>
      <c r="B1079" s="6" t="str">
        <f>'02-variable-info'!B1079</f>
        <v>BayleyIIIMotorFineScale</v>
      </c>
      <c r="C1079" s="6" t="str">
        <f>'02-variable-info'!M1079</f>
        <v>int</v>
      </c>
      <c r="D1079" s="6" t="str">
        <f>'02-variable-info'!H1079</f>
        <v>number</v>
      </c>
    </row>
    <row r="1080">
      <c r="A1080" s="6" t="str">
        <f>'02-variable-info'!A1080</f>
        <v>20-04-bayley-iii.csv</v>
      </c>
      <c r="B1080" s="6" t="str">
        <f>'02-variable-info'!B1080</f>
        <v>BayleyIIIMotorGrossRaw</v>
      </c>
      <c r="C1080" s="6" t="str">
        <f>'02-variable-info'!M1080</f>
        <v>int</v>
      </c>
      <c r="D1080" s="6" t="str">
        <f>'02-variable-info'!H1080</f>
        <v>number</v>
      </c>
    </row>
    <row r="1081">
      <c r="A1081" s="6" t="str">
        <f>'02-variable-info'!A1081</f>
        <v>20-04-bayley-iii.csv</v>
      </c>
      <c r="B1081" s="6" t="str">
        <f>'02-variable-info'!B1081</f>
        <v>BayleyIIIMotorGrossScale</v>
      </c>
      <c r="C1081" s="6" t="str">
        <f>'02-variable-info'!M1081</f>
        <v>int</v>
      </c>
      <c r="D1081" s="6" t="str">
        <f>'02-variable-info'!H1081</f>
        <v>number</v>
      </c>
    </row>
    <row r="1082">
      <c r="A1082" s="6" t="str">
        <f>'02-variable-info'!A1082</f>
        <v>20-04-bayley-iii.csv</v>
      </c>
      <c r="B1082" s="6" t="str">
        <f>'02-variable-info'!B1082</f>
        <v>BayleyIIISumMotorScore</v>
      </c>
      <c r="C1082" s="6" t="str">
        <f>'02-variable-info'!M1082</f>
        <v>int</v>
      </c>
      <c r="D1082" s="6" t="str">
        <f>'02-variable-info'!H1082</f>
        <v>number</v>
      </c>
    </row>
    <row r="1083">
      <c r="A1083" s="6" t="str">
        <f>'02-variable-info'!A1083</f>
        <v>20-04-bayley-iii.csv</v>
      </c>
      <c r="B1083" s="6" t="str">
        <f>'02-variable-info'!B1083</f>
        <v>BayleyIIIMotorComposite</v>
      </c>
      <c r="C1083" s="6" t="str">
        <f>'02-variable-info'!M1083</f>
        <v>int</v>
      </c>
      <c r="D1083" s="6" t="str">
        <f>'02-variable-info'!H1083</f>
        <v>number</v>
      </c>
    </row>
    <row r="1084">
      <c r="A1084" s="6" t="str">
        <f>'02-variable-info'!A1084</f>
        <v>20-04-bayley-iii.csv</v>
      </c>
      <c r="B1084" s="6" t="str">
        <f>'02-variable-info'!B1084</f>
        <v>BayleyIIIInEnglish</v>
      </c>
      <c r="C1084" s="6" t="str">
        <f>'02-variable-info'!M1084</f>
        <v>bool</v>
      </c>
      <c r="D1084" s="6" t="str">
        <f>'02-variable-info'!H1084</f>
        <v>boolean</v>
      </c>
    </row>
    <row r="1085">
      <c r="A1085" s="6" t="str">
        <f>'02-variable-info'!A1085</f>
        <v>20-04-bayley-iii.csv</v>
      </c>
      <c r="B1085" s="6" t="str">
        <f>'02-variable-info'!B1085</f>
        <v>BayleyIIIRequireInterpreter</v>
      </c>
      <c r="C1085" s="6" t="str">
        <f>'02-variable-info'!M1085</f>
        <v>bool</v>
      </c>
      <c r="D1085" s="6" t="str">
        <f>'02-variable-info'!H1085</f>
        <v>boolean</v>
      </c>
    </row>
    <row r="1086">
      <c r="A1086" s="6" t="str">
        <f>'02-variable-info'!A1086</f>
        <v>20-04-bayley-iii.csv</v>
      </c>
      <c r="B1086" s="6" t="str">
        <f>'02-variable-info'!B1086</f>
        <v>BayleyIIIAdministratorMaskedToChildHistory</v>
      </c>
      <c r="C1086" s="6" t="str">
        <f>'02-variable-info'!M1086</f>
        <v>bool</v>
      </c>
      <c r="D1086" s="6" t="str">
        <f>'02-variable-info'!H1086</f>
        <v>boolean</v>
      </c>
    </row>
    <row r="1087">
      <c r="A1087" s="6" t="str">
        <f>'02-variable-info'!A1087</f>
        <v>20-04-bayley-iii.csv</v>
      </c>
      <c r="B1087" s="6" t="str">
        <f>'02-variable-info'!B1087</f>
        <v>BayleyIIIWhere</v>
      </c>
      <c r="C1087" s="6" t="str">
        <f>'02-variable-info'!M1087</f>
        <v>interviewLocation</v>
      </c>
      <c r="D1087" s="6" t="str">
        <f>'02-variable-info'!H1087</f>
        <v>nomial</v>
      </c>
    </row>
    <row r="1088">
      <c r="A1088" s="6" t="str">
        <f>'02-variable-info'!A1088</f>
        <v>20-04-bayley-iii.csv</v>
      </c>
      <c r="B1088" s="6" t="str">
        <f>'02-variable-info'!B1088</f>
        <v>BayleyIIIDate</v>
      </c>
      <c r="C1088" s="6" t="str">
        <f>'02-variable-info'!M1088</f>
        <v>date</v>
      </c>
      <c r="D1088" s="6" t="str">
        <f>'02-variable-info'!H1088</f>
        <v>date</v>
      </c>
    </row>
    <row r="1089">
      <c r="A1089" s="6" t="str">
        <f>'02-variable-info'!A1089</f>
        <v>20-05-gmfcs.csv</v>
      </c>
      <c r="B1089" s="6" t="str">
        <f>'02-variable-info'!B1089</f>
        <v>grossMotorFunctionLevel</v>
      </c>
      <c r="C1089" s="6" t="str">
        <f>'02-variable-info'!M1089</f>
        <v>grossMotorFunctionLevel</v>
      </c>
      <c r="D1089" s="6" t="str">
        <f>'02-variable-info'!H1089</f>
        <v>ordinal</v>
      </c>
    </row>
    <row r="1090">
      <c r="A1090" s="6" t="str">
        <f>'02-variable-info'!A1090</f>
        <v>20-06-status.csv</v>
      </c>
      <c r="B1090" s="6" t="str">
        <f>'02-variable-info'!B1090</f>
        <v>statusVisitDate</v>
      </c>
      <c r="C1090" s="6" t="str">
        <f>'02-variable-info'!M1090</f>
        <v>date</v>
      </c>
      <c r="D1090" s="6" t="str">
        <f>'02-variable-info'!H1090</f>
        <v>date</v>
      </c>
    </row>
    <row r="1091">
      <c r="A1091" s="6" t="str">
        <f>'02-variable-info'!A1091</f>
        <v>20-06-status.csv</v>
      </c>
      <c r="B1091" s="6" t="str">
        <f>'02-variable-info'!B1091</f>
        <v>statusBirthDate</v>
      </c>
      <c r="C1091" s="6" t="str">
        <f>'02-variable-info'!M1091</f>
        <v>date</v>
      </c>
      <c r="D1091" s="6" t="str">
        <f>'02-variable-info'!H1091</f>
        <v>date</v>
      </c>
    </row>
    <row r="1092">
      <c r="A1092" s="6" t="str">
        <f>'02-variable-info'!A1092</f>
        <v>20-06-status.csv</v>
      </c>
      <c r="B1092" s="6" t="str">
        <f>'02-variable-info'!B1092</f>
        <v>childFinalStatus</v>
      </c>
      <c r="C1092" s="6" t="str">
        <f>'02-variable-info'!M1092</f>
        <v>followupStatus</v>
      </c>
      <c r="D1092" s="6" t="str">
        <f>'02-variable-info'!H1092</f>
        <v>nomial</v>
      </c>
    </row>
    <row r="1093">
      <c r="A1093" s="6" t="str">
        <f>'02-variable-info'!A1093</f>
        <v>20-06-status.csv</v>
      </c>
      <c r="B1093" s="6" t="str">
        <f>'02-variable-info'!B1093</f>
        <v>deathDate</v>
      </c>
      <c r="C1093" s="6" t="str">
        <f>'02-variable-info'!M1093</f>
        <v>date</v>
      </c>
      <c r="D1093" s="6" t="str">
        <f>'02-variable-info'!H1093</f>
        <v>date</v>
      </c>
    </row>
    <row r="1094">
      <c r="A1094" s="6" t="str">
        <f>'02-variable-info'!A1094</f>
        <v>20-06-status.csv</v>
      </c>
      <c r="B1094" s="6" t="str">
        <f>'02-variable-info'!B1094</f>
        <v>deathCause</v>
      </c>
      <c r="C1094" s="6" t="str">
        <f>'02-variable-info'!M1094</f>
        <v>deathCause</v>
      </c>
      <c r="D1094" s="6" t="str">
        <f>'02-variable-info'!H1094</f>
        <v>nomial</v>
      </c>
    </row>
    <row r="1095">
      <c r="A1095" s="6" t="str">
        <f>'02-variable-info'!A1095</f>
        <v>20-06-status.csv</v>
      </c>
      <c r="B1095" s="6" t="str">
        <f>'02-variable-info'!B1095</f>
        <v>reasonLossFollowUp</v>
      </c>
      <c r="C1095" s="6" t="str">
        <f>'02-variable-info'!M1095</f>
        <v>reasonLossFollowUp</v>
      </c>
      <c r="D1095" s="6" t="str">
        <f>'02-variable-info'!H1095</f>
        <v>nomial</v>
      </c>
    </row>
    <row r="1096">
      <c r="A1096" s="6" t="str">
        <f>'02-variable-info'!A1096</f>
        <v>20-06-status.csv</v>
      </c>
      <c r="B1096" s="6" t="str">
        <f>'02-variable-info'!B1096</f>
        <v>firstVisitDate</v>
      </c>
      <c r="C1096" s="6" t="str">
        <f>'02-variable-info'!M1096</f>
        <v>date</v>
      </c>
      <c r="D1096" s="6" t="str">
        <f>'02-variable-info'!H1096</f>
        <v>date</v>
      </c>
    </row>
    <row r="1097">
      <c r="A1097" s="6" t="str">
        <f>'02-variable-info'!A1097</f>
        <v>20-06-status.csv</v>
      </c>
      <c r="B1097" s="6" t="str">
        <f>'02-variable-info'!B1097</f>
        <v>finalVisitDate</v>
      </c>
      <c r="C1097" s="6" t="str">
        <f>'02-variable-info'!M1097</f>
        <v>date</v>
      </c>
      <c r="D1097" s="6" t="str">
        <f>'02-variable-info'!H1097</f>
        <v>date</v>
      </c>
    </row>
    <row r="1098">
      <c r="A1098" s="6" t="str">
        <f>'02-variable-info'!A1098</f>
        <v>20-07-readmission.csv</v>
      </c>
      <c r="B1098" s="6" t="str">
        <f>'02-variable-info'!B1098</f>
        <v>readmissionNumber</v>
      </c>
      <c r="C1098" s="6" t="str">
        <f>'02-variable-info'!M1098</f>
        <v>int</v>
      </c>
      <c r="D1098" s="6" t="str">
        <f>'02-variable-info'!H1098</f>
        <v>number</v>
      </c>
    </row>
    <row r="1099">
      <c r="A1099" s="6" t="str">
        <f>'02-variable-info'!A1099</f>
        <v>20-07-readmission.csv</v>
      </c>
      <c r="B1099" s="6" t="str">
        <f>'02-variable-info'!B1099</f>
        <v>readmissionTimePeriod</v>
      </c>
      <c r="C1099" s="6" t="str">
        <f>'02-variable-info'!M1099</f>
        <v>readmissionTimePeriod</v>
      </c>
      <c r="D1099" s="6" t="str">
        <f>'02-variable-info'!H1099</f>
        <v>ordinal</v>
      </c>
    </row>
    <row r="1100">
      <c r="A1100" s="6" t="str">
        <f>'02-variable-info'!A1100</f>
        <v>20-07-readmission.csv</v>
      </c>
      <c r="B1100" s="6" t="str">
        <f>'02-variable-info'!B1100</f>
        <v>readmissionPrimaryCause</v>
      </c>
      <c r="C1100" s="6" t="str">
        <f>'02-variable-info'!M1100</f>
        <v>readmissionPrimaryCause</v>
      </c>
      <c r="D1100" s="6" t="str">
        <f>'02-variable-info'!H1100</f>
        <v>nomial</v>
      </c>
    </row>
    <row r="1101">
      <c r="A1101" s="6" t="str">
        <f>'02-variable-info'!A1101</f>
        <v>20-07-readmission.csv</v>
      </c>
      <c r="B1101" s="6" t="str">
        <f>'02-variable-info'!B1101</f>
        <v>readmissionPrimaryCauseOtherText</v>
      </c>
      <c r="C1101" s="6" t="str">
        <f>'02-variable-info'!M1101</f>
        <v>text</v>
      </c>
      <c r="D1101" s="6" t="str">
        <f>'02-variable-info'!H1101</f>
        <v>text</v>
      </c>
    </row>
    <row r="1102">
      <c r="A1102" s="6" t="str">
        <f>'02-variable-info'!A1102</f>
        <v>20-07-readmission.csv</v>
      </c>
      <c r="B1102" s="6" t="str">
        <f>'02-variable-info'!B1102</f>
        <v>readmissionLengthOfStay</v>
      </c>
      <c r="C1102" s="6" t="str">
        <f>'02-variable-info'!M1102</f>
        <v>readmissionLengthOfStay</v>
      </c>
      <c r="D1102" s="6" t="str">
        <f>'02-variable-info'!H1102</f>
        <v>ordinal</v>
      </c>
    </row>
    <row r="1103">
      <c r="A1103" s="6" t="str">
        <f>'02-variable-info'!A1103</f>
        <v>20-07-readmission.csv</v>
      </c>
      <c r="B1103" s="6" t="str">
        <f>'02-variable-info'!B1103</f>
        <v>readmissionICU</v>
      </c>
      <c r="C1103" s="6" t="str">
        <f>'02-variable-info'!M1103</f>
        <v>bool</v>
      </c>
      <c r="D1103" s="6" t="str">
        <f>'02-variable-info'!H1103</f>
        <v>boolean</v>
      </c>
    </row>
    <row r="1104">
      <c r="A1104" s="6" t="str">
        <f>'02-variable-info'!A1104</f>
        <v>20-08-lost.csv</v>
      </c>
      <c r="B1104" s="6" t="str">
        <f>'02-variable-info'!B1104</f>
        <v>lostFollowUpInformationAvailableIndirectSrc</v>
      </c>
      <c r="C1104" s="6" t="str">
        <f>'02-variable-info'!M1104</f>
        <v>bool</v>
      </c>
      <c r="D1104" s="6" t="str">
        <f>'02-variable-info'!H1104</f>
        <v>boolean</v>
      </c>
    </row>
    <row r="1105">
      <c r="A1105" s="6" t="str">
        <f>'02-variable-info'!A1105</f>
        <v>20-08-lost.csv</v>
      </c>
      <c r="B1105" s="6" t="str">
        <f>'02-variable-info'!B1105</f>
        <v>lostFollowUpLastContactDate</v>
      </c>
      <c r="C1105" s="6" t="str">
        <f>'02-variable-info'!M1105</f>
        <v>date</v>
      </c>
      <c r="D1105" s="6" t="str">
        <f>'02-variable-info'!H1105</f>
        <v>date</v>
      </c>
    </row>
    <row r="1106">
      <c r="A1106" s="6" t="str">
        <f>'02-variable-info'!A1106</f>
        <v>20-08-lost.csv</v>
      </c>
      <c r="B1106" s="6" t="str">
        <f>'02-variable-info'!B1106</f>
        <v>lostFollowUpFormCompleteDate</v>
      </c>
      <c r="C1106" s="6" t="str">
        <f>'02-variable-info'!M1106</f>
        <v>date</v>
      </c>
      <c r="D1106" s="6" t="str">
        <f>'02-variable-info'!H1106</f>
        <v>date</v>
      </c>
    </row>
    <row r="1107">
      <c r="A1107" s="6" t="str">
        <f>'02-variable-info'!A1107</f>
        <v>20-08-lost.csv</v>
      </c>
      <c r="B1107" s="6" t="str">
        <f>'02-variable-info'!B1107</f>
        <v>lostFollowUpChildAlive</v>
      </c>
      <c r="C1107" s="6" t="str">
        <f>'02-variable-info'!M1107</f>
        <v>bool</v>
      </c>
      <c r="D1107" s="6" t="str">
        <f>'02-variable-info'!H1107</f>
        <v>boolean</v>
      </c>
    </row>
    <row r="1108">
      <c r="A1108" s="6" t="str">
        <f>'02-variable-info'!A1108</f>
        <v>20-08-lost.csv</v>
      </c>
      <c r="B1108" s="6" t="str">
        <f>'02-variable-info'!B1108</f>
        <v>lostFollowUpLastKnownAliveCorrectedAge_mo</v>
      </c>
      <c r="C1108" s="6" t="str">
        <f>'02-variable-info'!M1108</f>
        <v>int</v>
      </c>
      <c r="D1108" s="6" t="str">
        <f>'02-variable-info'!H1108</f>
        <v>number</v>
      </c>
    </row>
    <row r="1109">
      <c r="A1109" s="6" t="str">
        <f>'02-variable-info'!A1109</f>
        <v>20-08-lost.csv</v>
      </c>
      <c r="B1109" s="6" t="str">
        <f>'02-variable-info'!B1109</f>
        <v>lostFollowUpDeathDate</v>
      </c>
      <c r="C1109" s="6" t="str">
        <f>'02-variable-info'!M1109</f>
        <v>date</v>
      </c>
      <c r="D1109" s="6" t="str">
        <f>'02-variable-info'!H1109</f>
        <v>date</v>
      </c>
    </row>
    <row r="1110">
      <c r="A1110" s="6" t="str">
        <f>'02-variable-info'!A1110</f>
        <v>20-08-lost.csv</v>
      </c>
      <c r="B1110" s="6" t="str">
        <f>'02-variable-info'!B1110</f>
        <v>lostFollowUpInterview</v>
      </c>
      <c r="C1110" s="6" t="str">
        <f>'02-variable-info'!M1110</f>
        <v>bool</v>
      </c>
      <c r="D1110" s="6" t="str">
        <f>'02-variable-info'!H1110</f>
        <v>boolean</v>
      </c>
    </row>
    <row r="1111">
      <c r="A1111" s="6" t="str">
        <f>'02-variable-info'!A1111</f>
        <v>20-08-lost.csv</v>
      </c>
      <c r="B1111" s="6" t="str">
        <f>'02-variable-info'!B1111</f>
        <v>lostFollowUpInterviewDate</v>
      </c>
      <c r="C1111" s="6" t="str">
        <f>'02-variable-info'!M1111</f>
        <v>date</v>
      </c>
      <c r="D1111" s="6" t="str">
        <f>'02-variable-info'!H1111</f>
        <v>date</v>
      </c>
    </row>
    <row r="1112">
      <c r="A1112" s="6" t="str">
        <f>'02-variable-info'!A1112</f>
        <v>20-08-lost.csv</v>
      </c>
      <c r="B1112" s="6" t="str">
        <f>'02-variable-info'!B1112</f>
        <v>lostFollowUpInterviewCorrectedAge_mo</v>
      </c>
      <c r="C1112" s="6" t="str">
        <f>'02-variable-info'!M1112</f>
        <v>int</v>
      </c>
      <c r="D1112" s="6" t="str">
        <f>'02-variable-info'!H1112</f>
        <v>number</v>
      </c>
    </row>
    <row r="1113">
      <c r="A1113" s="6" t="str">
        <f>'02-variable-info'!A1113</f>
        <v>20-08-lost.csv</v>
      </c>
      <c r="B1113" s="6" t="str">
        <f>'02-variable-info'!B1113</f>
        <v>lostFollowUpAnyQuestionCompleteChartReview</v>
      </c>
      <c r="C1113" s="6" t="str">
        <f>'02-variable-info'!M1113</f>
        <v>bool</v>
      </c>
      <c r="D1113" s="6" t="str">
        <f>'02-variable-info'!H1113</f>
        <v>boolean</v>
      </c>
    </row>
    <row r="1114">
      <c r="A1114" s="6" t="str">
        <f>'02-variable-info'!A1114</f>
        <v>20-08-lost.csv</v>
      </c>
      <c r="B1114" s="6" t="str">
        <f>'02-variable-info'!B1114</f>
        <v>lostFollowUpChartReviewDate</v>
      </c>
      <c r="C1114" s="6" t="str">
        <f>'02-variable-info'!M1114</f>
        <v>date</v>
      </c>
      <c r="D1114" s="6" t="str">
        <f>'02-variable-info'!H1114</f>
        <v>date</v>
      </c>
    </row>
    <row r="1115">
      <c r="A1115" s="6" t="str">
        <f>'02-variable-info'!A1115</f>
        <v>20-08-lost.csv</v>
      </c>
      <c r="B1115" s="6" t="str">
        <f>'02-variable-info'!B1115</f>
        <v>lostFollowUpChartReviewCorrectedAge_mo</v>
      </c>
      <c r="C1115" s="6" t="str">
        <f>'02-variable-info'!M1115</f>
        <v>int</v>
      </c>
      <c r="D1115" s="6" t="str">
        <f>'02-variable-info'!H1115</f>
        <v>number</v>
      </c>
    </row>
    <row r="1116">
      <c r="A1116" s="6" t="str">
        <f>'02-variable-info'!A1116</f>
        <v>20-08-lost.csv</v>
      </c>
      <c r="B1116" s="6" t="str">
        <f>'02-variable-info'!B1116</f>
        <v>interviewChildHealth</v>
      </c>
      <c r="C1116" s="6" t="str">
        <f>'02-variable-info'!M1116</f>
        <v>childHealth</v>
      </c>
      <c r="D1116" s="6" t="str">
        <f>'02-variable-info'!H1116</f>
        <v>ordinal</v>
      </c>
    </row>
    <row r="1117">
      <c r="A1117" s="6" t="str">
        <f>'02-variable-info'!A1117</f>
        <v>20-08-lost.csv</v>
      </c>
      <c r="B1117" s="6" t="str">
        <f>'02-variable-info'!B1117</f>
        <v>interviewWalkAlone</v>
      </c>
      <c r="C1117" s="6" t="str">
        <f>'02-variable-info'!M1117</f>
        <v>bool</v>
      </c>
      <c r="D1117" s="6" t="str">
        <f>'02-variable-info'!H1117</f>
        <v>boolean</v>
      </c>
    </row>
    <row r="1118">
      <c r="A1118" s="6" t="str">
        <f>'02-variable-info'!A1118</f>
        <v>20-08-lost.csv</v>
      </c>
      <c r="B1118" s="6" t="str">
        <f>'02-variable-info'!B1118</f>
        <v>interviewWalkAloneAge_mo</v>
      </c>
      <c r="C1118" s="6" t="str">
        <f>'02-variable-info'!M1118</f>
        <v>int</v>
      </c>
      <c r="D1118" s="6" t="str">
        <f>'02-variable-info'!H1118</f>
        <v>number</v>
      </c>
    </row>
    <row r="1119">
      <c r="A1119" s="6" t="str">
        <f>'02-variable-info'!A1119</f>
        <v>20-08-lost.csv</v>
      </c>
      <c r="B1119" s="6" t="str">
        <f>'02-variable-info'!B1119</f>
        <v>interviewSittingAlong</v>
      </c>
      <c r="C1119" s="6" t="str">
        <f>'02-variable-info'!M1119</f>
        <v>bool</v>
      </c>
      <c r="D1119" s="6" t="str">
        <f>'02-variable-info'!H1119</f>
        <v>boolean</v>
      </c>
    </row>
    <row r="1120">
      <c r="A1120" s="6" t="str">
        <f>'02-variable-info'!A1120</f>
        <v>20-08-lost.csv</v>
      </c>
      <c r="B1120" s="6" t="str">
        <f>'02-variable-info'!B1120</f>
        <v>interviewHeadControl</v>
      </c>
      <c r="C1120" s="6" t="str">
        <f>'02-variable-info'!M1120</f>
        <v>bool</v>
      </c>
      <c r="D1120" s="6" t="str">
        <f>'02-variable-info'!H1120</f>
        <v>boolean</v>
      </c>
    </row>
    <row r="1121">
      <c r="A1121" s="6" t="str">
        <f>'02-variable-info'!A1121</f>
        <v>20-08-lost.csv</v>
      </c>
      <c r="B1121" s="6" t="str">
        <f>'02-variable-info'!B1121</f>
        <v>interviewSee</v>
      </c>
      <c r="C1121" s="6" t="str">
        <f>'02-variable-info'!M1121</f>
        <v>bool</v>
      </c>
      <c r="D1121" s="6" t="str">
        <f>'02-variable-info'!H1121</f>
        <v>boolean</v>
      </c>
    </row>
    <row r="1122">
      <c r="A1122" s="6" t="str">
        <f>'02-variable-info'!A1122</f>
        <v>20-08-lost.csv</v>
      </c>
      <c r="B1122" s="6" t="str">
        <f>'02-variable-info'!B1122</f>
        <v>interviewEyeExam</v>
      </c>
      <c r="C1122" s="6" t="str">
        <f>'02-variable-info'!M1122</f>
        <v>bool</v>
      </c>
      <c r="D1122" s="6" t="str">
        <f>'02-variable-info'!H1122</f>
        <v>boolean</v>
      </c>
    </row>
    <row r="1123">
      <c r="A1123" s="6" t="str">
        <f>'02-variable-info'!A1123</f>
        <v>20-08-lost.csv</v>
      </c>
      <c r="B1123" s="6" t="str">
        <f>'02-variable-info'!B1123</f>
        <v>interviewNeedWearGlasses</v>
      </c>
      <c r="C1123" s="6" t="str">
        <f>'02-variable-info'!M1123</f>
        <v>bool</v>
      </c>
      <c r="D1123" s="6" t="str">
        <f>'02-variable-info'!H1123</f>
        <v>boolean</v>
      </c>
    </row>
    <row r="1124">
      <c r="A1124" s="6" t="str">
        <f>'02-variable-info'!A1124</f>
        <v>20-08-lost.csv</v>
      </c>
      <c r="B1124" s="6" t="str">
        <f>'02-variable-info'!B1124</f>
        <v>interviewHear</v>
      </c>
      <c r="C1124" s="6" t="str">
        <f>'02-variable-info'!M1124</f>
        <v>bool</v>
      </c>
      <c r="D1124" s="6" t="str">
        <f>'02-variable-info'!H1124</f>
        <v>boolean</v>
      </c>
    </row>
    <row r="1125">
      <c r="A1125" s="6" t="str">
        <f>'02-variable-info'!A1125</f>
        <v>20-08-lost.csv</v>
      </c>
      <c r="B1125" s="6" t="str">
        <f>'02-variable-info'!B1125</f>
        <v>interviewHearExam</v>
      </c>
      <c r="C1125" s="6" t="str">
        <f>'02-variable-info'!M1125</f>
        <v>bool</v>
      </c>
      <c r="D1125" s="6" t="str">
        <f>'02-variable-info'!H1125</f>
        <v>boolean</v>
      </c>
    </row>
    <row r="1126">
      <c r="A1126" s="6" t="str">
        <f>'02-variable-info'!A1126</f>
        <v>20-08-lost.csv</v>
      </c>
      <c r="B1126" s="6" t="str">
        <f>'02-variable-info'!B1126</f>
        <v>interviewNeedWearHearingAid</v>
      </c>
      <c r="C1126" s="6" t="str">
        <f>'02-variable-info'!M1126</f>
        <v>bool</v>
      </c>
      <c r="D1126" s="6" t="str">
        <f>'02-variable-info'!H1126</f>
        <v>boolean</v>
      </c>
    </row>
    <row r="1127">
      <c r="A1127" s="6" t="str">
        <f>'02-variable-info'!A1127</f>
        <v>20-08-lost.csv</v>
      </c>
      <c r="B1127" s="6" t="str">
        <f>'02-variable-info'!B1127</f>
        <v>interviewNumberWordVocabulary</v>
      </c>
      <c r="C1127" s="6" t="str">
        <f>'02-variable-info'!M1127</f>
        <v>int</v>
      </c>
      <c r="D1127" s="6" t="str">
        <f>'02-variable-info'!H1127</f>
        <v>number</v>
      </c>
    </row>
    <row r="1128">
      <c r="A1128" s="6" t="str">
        <f>'02-variable-info'!A1128</f>
        <v>20-08-lost.csv</v>
      </c>
      <c r="B1128" s="6" t="str">
        <f>'02-variable-info'!B1128</f>
        <v>interviewCombine2Words</v>
      </c>
      <c r="C1128" s="6" t="str">
        <f>'02-variable-info'!M1128</f>
        <v>bool</v>
      </c>
      <c r="D1128" s="6" t="str">
        <f>'02-variable-info'!H1128</f>
        <v>boolean</v>
      </c>
    </row>
    <row r="1129">
      <c r="A1129" s="6" t="str">
        <f>'02-variable-info'!A1129</f>
        <v>20-08-lost.csv</v>
      </c>
      <c r="B1129" s="6" t="str">
        <f>'02-variable-info'!B1129</f>
        <v>interviewCombine3Words</v>
      </c>
      <c r="C1129" s="6" t="str">
        <f>'02-variable-info'!M1129</f>
        <v>bool</v>
      </c>
      <c r="D1129" s="6" t="str">
        <f>'02-variable-info'!H1129</f>
        <v>boolean</v>
      </c>
    </row>
    <row r="1130">
      <c r="A1130" s="6" t="str">
        <f>'02-variable-info'!A1130</f>
        <v>20-08-lost.csv</v>
      </c>
      <c r="B1130" s="6" t="str">
        <f>'02-variable-info'!B1130</f>
        <v>interviewHydrocephalusShunt</v>
      </c>
      <c r="C1130" s="6" t="str">
        <f>'02-variable-info'!M1130</f>
        <v>bool</v>
      </c>
      <c r="D1130" s="6" t="str">
        <f>'02-variable-info'!H1130</f>
        <v>boolean</v>
      </c>
    </row>
    <row r="1131">
      <c r="A1131" s="6" t="str">
        <f>'02-variable-info'!A1131</f>
        <v>20-08-lost.csv</v>
      </c>
      <c r="B1131" s="6" t="str">
        <f>'02-variable-info'!B1131</f>
        <v>interviewCerebralPalsy</v>
      </c>
      <c r="C1131" s="6" t="str">
        <f>'02-variable-info'!M1131</f>
        <v>bool</v>
      </c>
      <c r="D1131" s="6" t="str">
        <f>'02-variable-info'!H1131</f>
        <v>boolean</v>
      </c>
    </row>
    <row r="1132">
      <c r="A1132" s="6" t="str">
        <f>'02-variable-info'!A1132</f>
        <v>20-08-lost.csv</v>
      </c>
      <c r="B1132" s="6" t="str">
        <f>'02-variable-info'!B1132</f>
        <v>interviewDevelopmentalDelay</v>
      </c>
      <c r="C1132" s="6" t="str">
        <f>'02-variable-info'!M1132</f>
        <v>bool</v>
      </c>
      <c r="D1132" s="6" t="str">
        <f>'02-variable-info'!H1132</f>
        <v>boolean</v>
      </c>
    </row>
    <row r="1133">
      <c r="A1133" s="6" t="str">
        <f>'02-variable-info'!A1133</f>
        <v>20-08-lost.csv</v>
      </c>
      <c r="B1133" s="6" t="str">
        <f>'02-variable-info'!B1133</f>
        <v>interviewLanguageDelay</v>
      </c>
      <c r="C1133" s="6" t="str">
        <f>'02-variable-info'!M1133</f>
        <v>bool</v>
      </c>
      <c r="D1133" s="6" t="str">
        <f>'02-variable-info'!H1133</f>
        <v>boolean</v>
      </c>
    </row>
    <row r="1134">
      <c r="A1134" s="6" t="str">
        <f>'02-variable-info'!A1134</f>
        <v>20-08-lost.csv</v>
      </c>
      <c r="B1134" s="6" t="str">
        <f>'02-variable-info'!B1134</f>
        <v>interviewPoorWeightGain</v>
      </c>
      <c r="C1134" s="6" t="str">
        <f>'02-variable-info'!M1134</f>
        <v>bool</v>
      </c>
      <c r="D1134" s="6" t="str">
        <f>'02-variable-info'!H1134</f>
        <v>boolean</v>
      </c>
    </row>
    <row r="1135">
      <c r="A1135" s="6" t="str">
        <f>'02-variable-info'!A1135</f>
        <v>20-08-lost.csv</v>
      </c>
      <c r="B1135" s="6" t="str">
        <f>'02-variable-info'!B1135</f>
        <v>interviewSeizure</v>
      </c>
      <c r="C1135" s="6" t="str">
        <f>'02-variable-info'!M1135</f>
        <v>bool</v>
      </c>
      <c r="D1135" s="6" t="str">
        <f>'02-variable-info'!H1135</f>
        <v>boolean</v>
      </c>
    </row>
    <row r="1136">
      <c r="A1136" s="6" t="str">
        <f>'02-variable-info'!A1136</f>
        <v>20-08-lost.csv</v>
      </c>
      <c r="B1136" s="6" t="str">
        <f>'02-variable-info'!B1136</f>
        <v>interviewBlindness</v>
      </c>
      <c r="C1136" s="6" t="str">
        <f>'02-variable-info'!M1136</f>
        <v>bool</v>
      </c>
      <c r="D1136" s="6" t="str">
        <f>'02-variable-info'!H1136</f>
        <v>boolean</v>
      </c>
    </row>
    <row r="1137">
      <c r="A1137" s="6" t="str">
        <f>'02-variable-info'!A1137</f>
        <v>20-08-lost.csv</v>
      </c>
      <c r="B1137" s="6" t="str">
        <f>'02-variable-info'!B1137</f>
        <v>interviewOtherBehaviorProblem</v>
      </c>
      <c r="C1137" s="6" t="str">
        <f>'02-variable-info'!M1137</f>
        <v>bool</v>
      </c>
      <c r="D1137" s="6" t="str">
        <f>'02-variable-info'!H1137</f>
        <v>boolean</v>
      </c>
    </row>
    <row r="1138">
      <c r="A1138" s="6" t="str">
        <f>'02-variable-info'!A1138</f>
        <v>20-08-lost.csv</v>
      </c>
      <c r="B1138" s="6" t="str">
        <f>'02-variable-info'!B1138</f>
        <v>interviewOtherBehaviorProblemText</v>
      </c>
      <c r="C1138" s="6" t="str">
        <f>'02-variable-info'!M1138</f>
        <v>text</v>
      </c>
      <c r="D1138" s="6" t="str">
        <f>'02-variable-info'!H1138</f>
        <v>text</v>
      </c>
    </row>
    <row r="1139">
      <c r="A1139" s="6" t="str">
        <f>'02-variable-info'!A1139</f>
        <v>20-08-lost.csv</v>
      </c>
      <c r="B1139" s="6" t="str">
        <f>'02-variable-info'!B1139</f>
        <v>interviewOtherMajorMedicalProblem</v>
      </c>
      <c r="C1139" s="6" t="str">
        <f>'02-variable-info'!M1139</f>
        <v>bool</v>
      </c>
      <c r="D1139" s="6" t="str">
        <f>'02-variable-info'!H1139</f>
        <v>boolean</v>
      </c>
    </row>
    <row r="1140">
      <c r="A1140" s="6" t="str">
        <f>'02-variable-info'!A1140</f>
        <v>20-08-lost.csv</v>
      </c>
      <c r="B1140" s="6" t="str">
        <f>'02-variable-info'!B1140</f>
        <v>interviewOtherMajorMedicalProblemText</v>
      </c>
      <c r="C1140" s="6" t="str">
        <f>'02-variable-info'!M1140</f>
        <v>text</v>
      </c>
      <c r="D1140" s="6" t="str">
        <f>'02-variable-info'!H1140</f>
        <v>text</v>
      </c>
    </row>
    <row r="1141">
      <c r="A1141" s="6" t="str">
        <f>'02-variable-info'!A1141</f>
        <v>20-08-lost.csv</v>
      </c>
      <c r="B1141" s="6" t="str">
        <f>'02-variable-info'!B1141</f>
        <v>interviewOtherNeuraldevelopmentalProblem</v>
      </c>
      <c r="C1141" s="6" t="str">
        <f>'02-variable-info'!M1141</f>
        <v>bool</v>
      </c>
      <c r="D1141" s="6" t="str">
        <f>'02-variable-info'!H1141</f>
        <v>boolean</v>
      </c>
    </row>
    <row r="1142">
      <c r="A1142" s="6" t="str">
        <f>'02-variable-info'!A1142</f>
        <v>20-08-lost.csv</v>
      </c>
      <c r="B1142" s="6" t="str">
        <f>'02-variable-info'!B1142</f>
        <v>interviewOtherNeuraldevelopmentalProblemText</v>
      </c>
      <c r="C1142" s="6" t="str">
        <f>'02-variable-info'!M1142</f>
        <v>text</v>
      </c>
      <c r="D1142" s="6" t="str">
        <f>'02-variable-info'!H1142</f>
        <v>text</v>
      </c>
    </row>
    <row r="1143">
      <c r="A1143" s="6" t="str">
        <f>'02-variable-info'!A1143</f>
        <v>20-08-lost.csv</v>
      </c>
      <c r="B1143" s="6" t="str">
        <f>'02-variable-info'!B1143</f>
        <v>interviewMotorGrossFunctionLevel</v>
      </c>
      <c r="C1143" s="6" t="str">
        <f>'02-variable-info'!M1143</f>
        <v>grossMotorFunctionLevel</v>
      </c>
      <c r="D1143" s="6" t="str">
        <f>'02-variable-info'!H1143</f>
        <v>ordinal</v>
      </c>
    </row>
    <row r="1144">
      <c r="A1144" s="6" t="str">
        <f>'02-variable-info'!A1144</f>
        <v>20-08-lost.csv</v>
      </c>
      <c r="B1144" s="6" t="str">
        <f>'02-variable-info'!B1144</f>
        <v>chartReviewEyeExam</v>
      </c>
      <c r="C1144" s="6" t="str">
        <f>'02-variable-info'!M1144</f>
        <v>chartReview</v>
      </c>
      <c r="D1144" s="6" t="str">
        <f>'02-variable-info'!H1144</f>
        <v>ordinal</v>
      </c>
    </row>
    <row r="1145">
      <c r="A1145" s="6" t="str">
        <f>'02-variable-info'!A1145</f>
        <v>20-08-lost.csv</v>
      </c>
      <c r="B1145" s="6" t="str">
        <f>'02-variable-info'!B1145</f>
        <v>chartReviewHearingExam</v>
      </c>
      <c r="C1145" s="6" t="str">
        <f>'02-variable-info'!M1145</f>
        <v>chartReview</v>
      </c>
      <c r="D1145" s="6" t="str">
        <f>'02-variable-info'!H1145</f>
        <v>ordinal</v>
      </c>
    </row>
    <row r="1146">
      <c r="A1146" s="6" t="str">
        <f>'02-variable-info'!A1146</f>
        <v>20-08-lost.csv</v>
      </c>
      <c r="B1146" s="6" t="str">
        <f>'02-variable-info'!B1146</f>
        <v>chartReviewNeedWearHearingAid</v>
      </c>
      <c r="C1146" s="6" t="str">
        <f>'02-variable-info'!M1146</f>
        <v>chartReview</v>
      </c>
      <c r="D1146" s="6" t="str">
        <f>'02-variable-info'!H1146</f>
        <v>ordinal</v>
      </c>
    </row>
    <row r="1147">
      <c r="A1147" s="6" t="str">
        <f>'02-variable-info'!A1147</f>
        <v>20-08-lost.csv</v>
      </c>
      <c r="B1147" s="6" t="str">
        <f>'02-variable-info'!B1147</f>
        <v>chartReviewHydrocephalusShunt</v>
      </c>
      <c r="C1147" s="6" t="str">
        <f>'02-variable-info'!M1147</f>
        <v>chartReview</v>
      </c>
      <c r="D1147" s="6" t="str">
        <f>'02-variable-info'!H1147</f>
        <v>ordinal</v>
      </c>
    </row>
    <row r="1148">
      <c r="A1148" s="6" t="str">
        <f>'02-variable-info'!A1148</f>
        <v>20-08-lost.csv</v>
      </c>
      <c r="B1148" s="6" t="str">
        <f>'02-variable-info'!B1148</f>
        <v>chartReviewCerebralPalsy</v>
      </c>
      <c r="C1148" s="6" t="str">
        <f>'02-variable-info'!M1148</f>
        <v>chartReview</v>
      </c>
      <c r="D1148" s="6" t="str">
        <f>'02-variable-info'!H1148</f>
        <v>ordinal</v>
      </c>
    </row>
    <row r="1149">
      <c r="A1149" s="6" t="str">
        <f>'02-variable-info'!A1149</f>
        <v>20-08-lost.csv</v>
      </c>
      <c r="B1149" s="6" t="str">
        <f>'02-variable-info'!B1149</f>
        <v>chartReviewDevelopmentalDelay</v>
      </c>
      <c r="C1149" s="6" t="str">
        <f>'02-variable-info'!M1149</f>
        <v>chartReview</v>
      </c>
      <c r="D1149" s="6" t="str">
        <f>'02-variable-info'!H1149</f>
        <v>ordinal</v>
      </c>
    </row>
    <row r="1150">
      <c r="A1150" s="6" t="str">
        <f>'02-variable-info'!A1150</f>
        <v>20-08-lost.csv</v>
      </c>
      <c r="B1150" s="6" t="str">
        <f>'02-variable-info'!B1150</f>
        <v>chartReviewLanguageDelay</v>
      </c>
      <c r="C1150" s="6" t="str">
        <f>'02-variable-info'!M1150</f>
        <v>chartReview</v>
      </c>
      <c r="D1150" s="6" t="str">
        <f>'02-variable-info'!H1150</f>
        <v>ordinal</v>
      </c>
    </row>
    <row r="1151">
      <c r="A1151" s="6" t="str">
        <f>'02-variable-info'!A1151</f>
        <v>20-08-lost.csv</v>
      </c>
      <c r="B1151" s="6" t="str">
        <f>'02-variable-info'!B1151</f>
        <v>chartReviewPoorWeightGain</v>
      </c>
      <c r="C1151" s="6" t="str">
        <f>'02-variable-info'!M1151</f>
        <v>chartReview</v>
      </c>
      <c r="D1151" s="6" t="str">
        <f>'02-variable-info'!H1151</f>
        <v>ordinal</v>
      </c>
    </row>
    <row r="1152">
      <c r="A1152" s="6" t="str">
        <f>'02-variable-info'!A1152</f>
        <v>20-08-lost.csv</v>
      </c>
      <c r="B1152" s="6" t="str">
        <f>'02-variable-info'!B1152</f>
        <v>chartReviewSeizure</v>
      </c>
      <c r="C1152" s="6" t="str">
        <f>'02-variable-info'!M1152</f>
        <v>chartReview</v>
      </c>
      <c r="D1152" s="6" t="str">
        <f>'02-variable-info'!H1152</f>
        <v>ordinal</v>
      </c>
    </row>
    <row r="1153">
      <c r="A1153" s="6" t="str">
        <f>'02-variable-info'!A1153</f>
        <v>20-08-lost.csv</v>
      </c>
      <c r="B1153" s="6" t="str">
        <f>'02-variable-info'!B1153</f>
        <v>chartReviewBlindness</v>
      </c>
      <c r="C1153" s="6" t="str">
        <f>'02-variable-info'!M1153</f>
        <v>chartReview</v>
      </c>
      <c r="D1153" s="6" t="str">
        <f>'02-variable-info'!H1153</f>
        <v>ordinal</v>
      </c>
    </row>
    <row r="1154">
      <c r="A1154" s="6" t="str">
        <f>'02-variable-info'!A1154</f>
        <v>20-08-lost.csv</v>
      </c>
      <c r="B1154" s="6" t="str">
        <f>'02-variable-info'!B1154</f>
        <v>chartReviewOtherBehaviorProblem</v>
      </c>
      <c r="C1154" s="6" t="str">
        <f>'02-variable-info'!M1154</f>
        <v>chartReview</v>
      </c>
      <c r="D1154" s="6" t="str">
        <f>'02-variable-info'!H1154</f>
        <v>ordinal</v>
      </c>
    </row>
    <row r="1155">
      <c r="A1155" s="6" t="str">
        <f>'02-variable-info'!A1155</f>
        <v>20-08-lost.csv</v>
      </c>
      <c r="B1155" s="6" t="str">
        <f>'02-variable-info'!B1155</f>
        <v>chartReviewOtherBehaviorProblemText</v>
      </c>
      <c r="C1155" s="6" t="str">
        <f>'02-variable-info'!M1155</f>
        <v>text</v>
      </c>
      <c r="D1155" s="6" t="str">
        <f>'02-variable-info'!H1155</f>
        <v>text</v>
      </c>
    </row>
    <row r="1156">
      <c r="A1156" s="6" t="str">
        <f>'02-variable-info'!A1156</f>
        <v>20-08-lost.csv</v>
      </c>
      <c r="B1156" s="6" t="str">
        <f>'02-variable-info'!B1156</f>
        <v>chartReviewOtherMajorMedicalProblem</v>
      </c>
      <c r="C1156" s="6" t="str">
        <f>'02-variable-info'!M1156</f>
        <v>chartReview</v>
      </c>
      <c r="D1156" s="6" t="str">
        <f>'02-variable-info'!H1156</f>
        <v>ordinal</v>
      </c>
    </row>
    <row r="1157">
      <c r="A1157" s="6" t="str">
        <f>'02-variable-info'!A1157</f>
        <v>20-08-lost.csv</v>
      </c>
      <c r="B1157" s="6" t="str">
        <f>'02-variable-info'!B1157</f>
        <v>chartReviewOtherMajorMedicalProblemText</v>
      </c>
      <c r="C1157" s="6" t="str">
        <f>'02-variable-info'!M1157</f>
        <v>text</v>
      </c>
      <c r="D1157" s="6" t="str">
        <f>'02-variable-info'!H1157</f>
        <v>text</v>
      </c>
    </row>
    <row r="1158">
      <c r="A1158" s="6" t="str">
        <f>'02-variable-info'!A1158</f>
        <v>20-08-lost.csv</v>
      </c>
      <c r="B1158" s="6" t="str">
        <f>'02-variable-info'!B1158</f>
        <v>chartReviewOtherNeuraldevelopmentalProblem</v>
      </c>
      <c r="C1158" s="6" t="str">
        <f>'02-variable-info'!M1158</f>
        <v>chartReview</v>
      </c>
      <c r="D1158" s="6" t="str">
        <f>'02-variable-info'!H1158</f>
        <v>ordinal</v>
      </c>
    </row>
    <row r="1159">
      <c r="A1159" s="6" t="str">
        <f>'02-variable-info'!A1159</f>
        <v>20-08-lost.csv</v>
      </c>
      <c r="B1159" s="6" t="str">
        <f>'02-variable-info'!B1159</f>
        <v>chartReviewOtherNeuraldevelopmentalProblemText</v>
      </c>
      <c r="C1159" s="6" t="str">
        <f>'02-variable-info'!M1159</f>
        <v>text</v>
      </c>
      <c r="D1159" s="6" t="str">
        <f>'02-variable-info'!H1159</f>
        <v>text</v>
      </c>
    </row>
    <row r="1160">
      <c r="A1160" s="6" t="str">
        <f>'02-variable-info'!A1160</f>
        <v>20-08-lost.csv</v>
      </c>
      <c r="B1160" s="6" t="str">
        <f>'02-variable-info'!B1160</f>
        <v>chartReviewMotorGrossFunctionLevel</v>
      </c>
      <c r="C1160" s="6" t="str">
        <f>'02-variable-info'!M1160</f>
        <v>grossMotorFunctionLevel</v>
      </c>
      <c r="D1160" s="6" t="str">
        <f>'02-variable-info'!H1160</f>
        <v>ordinal</v>
      </c>
    </row>
    <row r="1161">
      <c r="A1161" s="6" t="str">
        <f>'02-variable-info'!A1161</f>
        <v>20-09-secondary.csv</v>
      </c>
      <c r="B1161" s="6" t="str">
        <f>'02-variable-info'!B1161</f>
        <v>blindness</v>
      </c>
      <c r="C1161" s="6" t="str">
        <f>'02-variable-info'!M1161</f>
        <v>bool</v>
      </c>
      <c r="D1161" s="6" t="str">
        <f>'02-variable-info'!H1161</f>
        <v>boolean</v>
      </c>
    </row>
    <row r="1162">
      <c r="A1162" s="6" t="str">
        <f>'02-variable-info'!A1162</f>
        <v>20-09-secondary.csv</v>
      </c>
      <c r="B1162" s="6" t="str">
        <f>'02-variable-info'!B1162</f>
        <v>moderateSevereCerebralPalsy</v>
      </c>
      <c r="C1162" s="6" t="str">
        <f>'02-variable-info'!M1162</f>
        <v>bool</v>
      </c>
      <c r="D1162" s="6" t="str">
        <f>'02-variable-info'!H1162</f>
        <v>boolean</v>
      </c>
    </row>
    <row r="1163">
      <c r="A1163" s="6" t="str">
        <f>'02-variable-info'!A1163</f>
        <v>20-09-secondary.csv</v>
      </c>
      <c r="B1163" s="6" t="str">
        <f>'02-variable-info'!B1163</f>
        <v>cerebralPalsyMerge</v>
      </c>
      <c r="C1163" s="6" t="str">
        <f>'02-variable-info'!M1163</f>
        <v>bool</v>
      </c>
      <c r="D1163" s="6" t="str">
        <f>'02-variable-info'!H1163</f>
        <v>boolean</v>
      </c>
    </row>
    <row r="1164">
      <c r="A1164" s="6" t="str">
        <f>'02-variable-info'!A1164</f>
        <v>20-09-secondary.csv</v>
      </c>
      <c r="B1164" s="6" t="str">
        <f>'02-variable-info'!B1164</f>
        <v>gastrostomyTube_b</v>
      </c>
      <c r="C1164" s="6" t="str">
        <f>'02-variable-info'!M1164</f>
        <v>bool</v>
      </c>
      <c r="D1164" s="6" t="str">
        <f>'02-variable-info'!H1164</f>
        <v>boolean</v>
      </c>
    </row>
    <row r="1165">
      <c r="A1165" s="6" t="str">
        <f>'02-variable-info'!A1165</f>
        <v>20-09-secondary.csv</v>
      </c>
      <c r="B1165" s="6" t="str">
        <f>'02-variable-info'!B1165</f>
        <v>grossMotorFunctionLevelSeverity</v>
      </c>
      <c r="C1165" s="6" t="str">
        <f>'02-variable-info'!M1165</f>
        <v>severity</v>
      </c>
      <c r="D1165" s="6" t="str">
        <f>'02-variable-info'!H1165</f>
        <v>ordinal</v>
      </c>
    </row>
    <row r="1166">
      <c r="A1166" s="6" t="str">
        <f>'02-variable-info'!A1166</f>
        <v>20-09-secondary.csv</v>
      </c>
      <c r="B1166" s="6" t="str">
        <f>'02-variable-info'!B1166</f>
        <v>hearingImpairedWithAid</v>
      </c>
      <c r="C1166" s="6" t="str">
        <f>'02-variable-info'!M1166</f>
        <v>bool</v>
      </c>
      <c r="D1166" s="6" t="str">
        <f>'02-variable-info'!H1166</f>
        <v>boolean</v>
      </c>
    </row>
    <row r="1167">
      <c r="A1167" s="6" t="str">
        <f>'02-variable-info'!A1167</f>
        <v>20-09-secondary.csv</v>
      </c>
      <c r="B1167" s="6" t="str">
        <f>'02-variable-info'!B1167</f>
        <v>hearingImpairedLevel</v>
      </c>
      <c r="C1167" s="6" t="str">
        <f>'02-variable-info'!M1167</f>
        <v>severity</v>
      </c>
      <c r="D1167" s="6" t="str">
        <f>'02-variable-info'!H1167</f>
        <v>ordinal</v>
      </c>
    </row>
    <row r="1168">
      <c r="A1168" s="6" t="str">
        <f>'02-variable-info'!A1168</f>
        <v>20-09-secondary.csv</v>
      </c>
      <c r="B1168" s="6" t="str">
        <f>'02-variable-info'!B1168</f>
        <v>multipleImpairment</v>
      </c>
      <c r="C1168" s="6" t="str">
        <f>'02-variable-info'!M1168</f>
        <v>bool</v>
      </c>
      <c r="D1168" s="6" t="str">
        <f>'02-variable-info'!H1168</f>
        <v>boolean</v>
      </c>
    </row>
    <row r="1169">
      <c r="A1169" s="6" t="str">
        <f>'02-variable-info'!A1169</f>
        <v>20-09-secondary.csv</v>
      </c>
      <c r="B1169" s="6" t="str">
        <f>'02-variable-info'!B1169</f>
        <v>afterDischargeSeizure</v>
      </c>
      <c r="C1169" s="6" t="str">
        <f>'02-variable-info'!M1169</f>
        <v>bool</v>
      </c>
      <c r="D1169" s="6" t="str">
        <f>'02-variable-info'!H1169</f>
        <v>boolean</v>
      </c>
    </row>
    <row r="1170">
      <c r="A1170" s="6" t="str">
        <f>'02-variable-info'!A1170</f>
        <v>20-10-outcome.csv</v>
      </c>
      <c r="B1170" s="6" t="str">
        <f>'02-variable-info'!B1170</f>
        <v>flagAdjudicatedOutcome</v>
      </c>
      <c r="C1170" s="6" t="str">
        <f>'02-variable-info'!M1170</f>
        <v>flagAdjudicatedOutcome</v>
      </c>
      <c r="D1170" s="6" t="str">
        <f>'02-variable-info'!H1170</f>
        <v>ordinal</v>
      </c>
    </row>
    <row r="1171">
      <c r="A1171" s="6" t="str">
        <f>'02-variable-info'!A1171</f>
        <v>20-10-outcome.csv</v>
      </c>
      <c r="B1171" s="6" t="str">
        <f>'02-variable-info'!B1171</f>
        <v>normalPrimaryOutcome</v>
      </c>
      <c r="C1171" s="6" t="str">
        <f>'02-variable-info'!M1171</f>
        <v>bool</v>
      </c>
      <c r="D1171" s="6" t="str">
        <f>'02-variable-info'!H1171</f>
        <v>boolean</v>
      </c>
    </row>
    <row r="1172">
      <c r="A1172" s="6" t="str">
        <f>'02-variable-info'!A1172</f>
        <v>20-10-outcome.csv</v>
      </c>
      <c r="B1172" s="6" t="str">
        <f>'02-variable-info'!B1172</f>
        <v>BayleyIIILanguage</v>
      </c>
      <c r="C1172" s="6" t="str">
        <f>'02-variable-info'!M1172</f>
        <v>severity</v>
      </c>
      <c r="D1172" s="6" t="str">
        <f>'02-variable-info'!H1172</f>
        <v>ordinal</v>
      </c>
    </row>
    <row r="1173">
      <c r="A1173" s="6" t="str">
        <f>'02-variable-info'!A1173</f>
        <v>20-10-outcome.csv</v>
      </c>
      <c r="B1173" s="6" t="str">
        <f>'02-variable-info'!B1173</f>
        <v>BayleyIIIMotor</v>
      </c>
      <c r="C1173" s="6" t="str">
        <f>'02-variable-info'!M1173</f>
        <v>severity</v>
      </c>
      <c r="D1173" s="6" t="str">
        <f>'02-variable-info'!H1173</f>
        <v>ordinal</v>
      </c>
    </row>
    <row r="1174">
      <c r="A1174" s="6" t="str">
        <f>'02-variable-info'!A1174</f>
        <v>20-10-outcome.csv</v>
      </c>
      <c r="B1174" s="6" t="str">
        <f>'02-variable-info'!B1174</f>
        <v>BayleyIIICognitive</v>
      </c>
      <c r="C1174" s="6" t="str">
        <f>'02-variable-info'!M1174</f>
        <v>severity</v>
      </c>
      <c r="D1174" s="6" t="str">
        <f>'02-variable-info'!H1174</f>
        <v>ordinal</v>
      </c>
    </row>
    <row r="1175">
      <c r="A1175" s="6" t="str">
        <f>'02-variable-info'!A1175</f>
        <v>20-10-outcome.csv</v>
      </c>
      <c r="B1175" s="6" t="str">
        <f>'02-variable-info'!B1175</f>
        <v>deathBeforeFollowup</v>
      </c>
      <c r="C1175" s="6" t="str">
        <f>'02-variable-info'!M1175</f>
        <v>bool</v>
      </c>
      <c r="D1175" s="6" t="str">
        <f>'02-variable-info'!H1175</f>
        <v>boolean</v>
      </c>
    </row>
    <row r="1176">
      <c r="A1176" s="6" t="str">
        <f>'02-variable-info'!A1176</f>
        <v>20-10-outcome.csv</v>
      </c>
      <c r="B1176" s="6" t="str">
        <f>'02-variable-info'!B1176</f>
        <v>deathBeforeDischarge</v>
      </c>
      <c r="C1176" s="6" t="str">
        <f>'02-variable-info'!M1176</f>
        <v>bool</v>
      </c>
      <c r="D1176" s="6" t="str">
        <f>'02-variable-info'!H1176</f>
        <v>boolean</v>
      </c>
    </row>
    <row r="1177">
      <c r="A1177" s="6" t="str">
        <f>'02-variable-info'!A1177</f>
        <v>20-10-outcome.csv</v>
      </c>
      <c r="B1177" s="6" t="str">
        <f>'02-variable-info'!B1177</f>
        <v>disabilityLevelSurvivor</v>
      </c>
      <c r="C1177" s="6" t="str">
        <f>'02-variable-info'!M1177</f>
        <v>severity</v>
      </c>
      <c r="D1177" s="6" t="str">
        <f>'02-variable-info'!H1177</f>
        <v>ordinal</v>
      </c>
    </row>
    <row r="1178">
      <c r="A1178" s="6" t="str">
        <f>'02-variable-info'!A1178</f>
        <v>20-10-outcome.csv</v>
      </c>
      <c r="B1178" s="6" t="str">
        <f>'02-variable-info'!B1178</f>
        <v>disabilityLevelDeath4Category</v>
      </c>
      <c r="C1178" s="6" t="str">
        <f>'02-variable-info'!M1178</f>
        <v>severity</v>
      </c>
      <c r="D1178" s="6" t="str">
        <f>'02-variable-info'!H1178</f>
        <v>ordinal</v>
      </c>
    </row>
    <row r="1179">
      <c r="A1179" s="6" t="str">
        <f>'02-variable-info'!A1179</f>
        <v>20-10-outcome.csv</v>
      </c>
      <c r="B1179" s="6" t="str">
        <f>'02-variable-info'!B1179</f>
        <v>moderateSevereDisabilityOrDeath</v>
      </c>
      <c r="C1179" s="6" t="str">
        <f>'02-variable-info'!M1179</f>
        <v>bool</v>
      </c>
      <c r="D1179" s="6" t="str">
        <f>'02-variable-info'!H1179</f>
        <v>boolean</v>
      </c>
    </row>
    <row r="1180">
      <c r="A1180" s="6" t="str">
        <f>'02-variable-info'!A1180</f>
        <v>20-10-outcome.csv</v>
      </c>
      <c r="B1180" s="6" t="str">
        <f>'02-variable-info'!B1180</f>
        <v>moderateSevereDisabilitySurvivor</v>
      </c>
      <c r="C1180" s="6" t="str">
        <f>'02-variable-info'!M1180</f>
        <v>bool</v>
      </c>
      <c r="D1180" s="6" t="str">
        <f>'02-variable-info'!H1180</f>
        <v>boolean</v>
      </c>
    </row>
    <row r="1181">
      <c r="A1181" s="6" t="str">
        <f>'02-variable-info'!A1181</f>
        <v>20-10-outcome.csv</v>
      </c>
      <c r="B1181" s="6" t="str">
        <f>'02-variable-info'!B1181</f>
        <v>outcomeGroup</v>
      </c>
      <c r="C1181" s="6" t="str">
        <f>'02-variable-info'!M1181</f>
        <v>outcomeGroup</v>
      </c>
      <c r="D1181" s="6" t="str">
        <f>'02-variable-info'!H1181</f>
        <v>ordinal</v>
      </c>
    </row>
    <row r="1182">
      <c r="A1182" s="6" t="str">
        <f>'02-variable-info'!A1182</f>
        <v>20-10_1-disability-level-death.csv</v>
      </c>
      <c r="B1182" s="6" t="str">
        <f>'02-variable-info'!B1182</f>
        <v>disabilityLevelDeath</v>
      </c>
      <c r="C1182" s="6" t="str">
        <f>'02-variable-info'!M1182</f>
        <v>severity</v>
      </c>
      <c r="D1182" s="6" t="str">
        <f>'02-variable-info'!H1182</f>
        <v>ordinal</v>
      </c>
    </row>
    <row r="1183">
      <c r="A1183" s="6" t="str">
        <f>'02-variable-info'!A1183</f>
        <v/>
      </c>
      <c r="B1183" s="6" t="str">
        <f>'02-variable-info'!B1183</f>
        <v/>
      </c>
      <c r="D1183" s="6" t="str">
        <f>'02-variable-info'!H1183</f>
        <v/>
      </c>
    </row>
    <row r="1184">
      <c r="A1184" s="6" t="str">
        <f>'02-variable-info'!A1184</f>
        <v/>
      </c>
      <c r="B1184" s="6" t="str">
        <f>'02-variable-info'!B1184</f>
        <v/>
      </c>
      <c r="C1184" s="6" t="str">
        <f>'02-variable-info'!J1184</f>
        <v/>
      </c>
      <c r="D1184" s="6" t="str">
        <f>'02-variable-info'!H1184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0"/>
    <col customWidth="1" min="2" max="2" width="16.5"/>
    <col customWidth="1" min="3" max="3" width="32.0"/>
    <col customWidth="1" min="4" max="4" width="17.38"/>
    <col customWidth="1" min="5" max="5" width="10.25"/>
  </cols>
  <sheetData>
    <row r="1">
      <c r="E1" s="1" t="s">
        <v>3038</v>
      </c>
    </row>
    <row r="2">
      <c r="E2" s="6" t="b">
        <f t="shared" ref="E2:E69" si="1">EQ(B2, D2)</f>
        <v>0</v>
      </c>
    </row>
    <row r="3">
      <c r="E3" s="6" t="b">
        <f t="shared" si="1"/>
        <v>1</v>
      </c>
    </row>
    <row r="4">
      <c r="E4" s="6" t="b">
        <f t="shared" si="1"/>
        <v>1</v>
      </c>
    </row>
    <row r="5">
      <c r="E5" s="6" t="b">
        <f t="shared" si="1"/>
        <v>1</v>
      </c>
    </row>
    <row r="6">
      <c r="E6" s="6" t="b">
        <f t="shared" si="1"/>
        <v>1</v>
      </c>
    </row>
    <row r="7">
      <c r="E7" s="6" t="b">
        <f t="shared" si="1"/>
        <v>1</v>
      </c>
    </row>
    <row r="8">
      <c r="E8" s="6" t="b">
        <f t="shared" si="1"/>
        <v>1</v>
      </c>
    </row>
    <row r="9">
      <c r="E9" s="6" t="b">
        <f t="shared" si="1"/>
        <v>1</v>
      </c>
    </row>
    <row r="10">
      <c r="E10" s="6" t="b">
        <f t="shared" si="1"/>
        <v>1</v>
      </c>
    </row>
    <row r="11">
      <c r="E11" s="6" t="b">
        <f t="shared" si="1"/>
        <v>1</v>
      </c>
    </row>
    <row r="12">
      <c r="E12" s="6" t="b">
        <f t="shared" si="1"/>
        <v>1</v>
      </c>
    </row>
    <row r="13">
      <c r="E13" s="6" t="b">
        <f t="shared" si="1"/>
        <v>1</v>
      </c>
    </row>
    <row r="14">
      <c r="E14" s="6" t="b">
        <f t="shared" si="1"/>
        <v>1</v>
      </c>
    </row>
    <row r="15">
      <c r="E15" s="6" t="b">
        <f t="shared" si="1"/>
        <v>1</v>
      </c>
    </row>
    <row r="16">
      <c r="E16" s="6" t="b">
        <f t="shared" si="1"/>
        <v>1</v>
      </c>
    </row>
    <row r="17">
      <c r="E17" s="6" t="b">
        <f t="shared" si="1"/>
        <v>1</v>
      </c>
    </row>
    <row r="18">
      <c r="E18" s="6" t="b">
        <f t="shared" si="1"/>
        <v>1</v>
      </c>
    </row>
    <row r="19">
      <c r="E19" s="6" t="b">
        <f t="shared" si="1"/>
        <v>1</v>
      </c>
    </row>
    <row r="20">
      <c r="E20" s="6" t="b">
        <f t="shared" si="1"/>
        <v>1</v>
      </c>
    </row>
    <row r="21">
      <c r="E21" s="6" t="b">
        <f t="shared" si="1"/>
        <v>1</v>
      </c>
    </row>
    <row r="22">
      <c r="E22" s="6" t="b">
        <f t="shared" si="1"/>
        <v>1</v>
      </c>
    </row>
    <row r="23">
      <c r="E23" s="6" t="b">
        <f t="shared" si="1"/>
        <v>1</v>
      </c>
    </row>
    <row r="24">
      <c r="E24" s="6" t="b">
        <f t="shared" si="1"/>
        <v>1</v>
      </c>
    </row>
    <row r="25">
      <c r="E25" s="6" t="b">
        <f t="shared" si="1"/>
        <v>1</v>
      </c>
    </row>
    <row r="26">
      <c r="E26" s="6" t="b">
        <f t="shared" si="1"/>
        <v>1</v>
      </c>
    </row>
    <row r="27">
      <c r="E27" s="6" t="b">
        <f t="shared" si="1"/>
        <v>1</v>
      </c>
    </row>
    <row r="28">
      <c r="E28" s="6" t="b">
        <f t="shared" si="1"/>
        <v>1</v>
      </c>
    </row>
    <row r="29">
      <c r="E29" s="6" t="b">
        <f t="shared" si="1"/>
        <v>1</v>
      </c>
    </row>
    <row r="30">
      <c r="E30" s="6" t="b">
        <f t="shared" si="1"/>
        <v>1</v>
      </c>
    </row>
    <row r="31">
      <c r="E31" s="6" t="b">
        <f t="shared" si="1"/>
        <v>1</v>
      </c>
    </row>
    <row r="32">
      <c r="E32" s="6" t="b">
        <f t="shared" si="1"/>
        <v>1</v>
      </c>
    </row>
    <row r="33">
      <c r="E33" s="6" t="b">
        <f t="shared" si="1"/>
        <v>1</v>
      </c>
    </row>
    <row r="34">
      <c r="E34" s="6" t="b">
        <f t="shared" si="1"/>
        <v>1</v>
      </c>
    </row>
    <row r="35">
      <c r="E35" s="6" t="b">
        <f t="shared" si="1"/>
        <v>1</v>
      </c>
    </row>
    <row r="36">
      <c r="E36" s="6" t="b">
        <f t="shared" si="1"/>
        <v>1</v>
      </c>
    </row>
    <row r="37">
      <c r="E37" s="6" t="b">
        <f t="shared" si="1"/>
        <v>1</v>
      </c>
    </row>
    <row r="38">
      <c r="E38" s="6" t="b">
        <f t="shared" si="1"/>
        <v>1</v>
      </c>
    </row>
    <row r="39">
      <c r="E39" s="6" t="b">
        <f t="shared" si="1"/>
        <v>1</v>
      </c>
    </row>
    <row r="40">
      <c r="E40" s="6" t="b">
        <f t="shared" si="1"/>
        <v>1</v>
      </c>
    </row>
    <row r="41">
      <c r="E41" s="6" t="b">
        <f t="shared" si="1"/>
        <v>1</v>
      </c>
    </row>
    <row r="42">
      <c r="E42" s="6" t="b">
        <f t="shared" si="1"/>
        <v>1</v>
      </c>
    </row>
    <row r="43">
      <c r="E43" s="6" t="b">
        <f t="shared" si="1"/>
        <v>1</v>
      </c>
    </row>
    <row r="44">
      <c r="E44" s="6" t="b">
        <f t="shared" si="1"/>
        <v>1</v>
      </c>
    </row>
    <row r="45">
      <c r="E45" s="6" t="b">
        <f t="shared" si="1"/>
        <v>1</v>
      </c>
    </row>
    <row r="46">
      <c r="E46" s="6" t="b">
        <f t="shared" si="1"/>
        <v>1</v>
      </c>
    </row>
    <row r="47">
      <c r="E47" s="6" t="b">
        <f t="shared" si="1"/>
        <v>1</v>
      </c>
    </row>
    <row r="48">
      <c r="E48" s="6" t="b">
        <f t="shared" si="1"/>
        <v>1</v>
      </c>
    </row>
    <row r="49">
      <c r="E49" s="6" t="b">
        <f t="shared" si="1"/>
        <v>1</v>
      </c>
    </row>
    <row r="50">
      <c r="E50" s="6" t="b">
        <f t="shared" si="1"/>
        <v>1</v>
      </c>
    </row>
    <row r="51">
      <c r="E51" s="6" t="b">
        <f t="shared" si="1"/>
        <v>1</v>
      </c>
    </row>
    <row r="52">
      <c r="E52" s="6" t="b">
        <f t="shared" si="1"/>
        <v>1</v>
      </c>
    </row>
    <row r="53">
      <c r="E53" s="6" t="b">
        <f t="shared" si="1"/>
        <v>1</v>
      </c>
    </row>
    <row r="54">
      <c r="E54" s="6" t="b">
        <f t="shared" si="1"/>
        <v>1</v>
      </c>
    </row>
    <row r="55">
      <c r="E55" s="6" t="b">
        <f t="shared" si="1"/>
        <v>1</v>
      </c>
    </row>
    <row r="56">
      <c r="E56" s="6" t="b">
        <f t="shared" si="1"/>
        <v>1</v>
      </c>
    </row>
    <row r="57">
      <c r="E57" s="6" t="b">
        <f t="shared" si="1"/>
        <v>1</v>
      </c>
    </row>
    <row r="58">
      <c r="E58" s="6" t="b">
        <f t="shared" si="1"/>
        <v>1</v>
      </c>
    </row>
    <row r="59">
      <c r="E59" s="6" t="b">
        <f t="shared" si="1"/>
        <v>1</v>
      </c>
    </row>
    <row r="60">
      <c r="E60" s="6" t="b">
        <f t="shared" si="1"/>
        <v>1</v>
      </c>
    </row>
    <row r="61">
      <c r="E61" s="6" t="b">
        <f t="shared" si="1"/>
        <v>1</v>
      </c>
    </row>
    <row r="62">
      <c r="E62" s="6" t="b">
        <f t="shared" si="1"/>
        <v>1</v>
      </c>
    </row>
    <row r="63">
      <c r="E63" s="6" t="b">
        <f t="shared" si="1"/>
        <v>1</v>
      </c>
    </row>
    <row r="64">
      <c r="E64" s="6" t="b">
        <f t="shared" si="1"/>
        <v>1</v>
      </c>
    </row>
    <row r="65">
      <c r="E65" s="6" t="b">
        <f t="shared" si="1"/>
        <v>1</v>
      </c>
    </row>
    <row r="66">
      <c r="E66" s="6" t="b">
        <f t="shared" si="1"/>
        <v>1</v>
      </c>
    </row>
    <row r="67">
      <c r="E67" s="6" t="b">
        <f t="shared" si="1"/>
        <v>1</v>
      </c>
    </row>
    <row r="68">
      <c r="E68" s="6" t="b">
        <f t="shared" si="1"/>
        <v>1</v>
      </c>
    </row>
    <row r="69">
      <c r="E69" s="6" t="b">
        <f t="shared" si="1"/>
        <v>1</v>
      </c>
    </row>
    <row r="70"/>
    <row r="71"/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38"/>
  </cols>
  <sheetData>
    <row r="1"/>
    <row r="2"/>
    <row r="3"/>
    <row r="4"/>
    <row r="5"/>
    <row r="6"/>
    <row r="7"/>
    <row r="8"/>
    <row r="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5.88"/>
    <col customWidth="1" min="3" max="3" width="6.0"/>
  </cols>
  <sheetData>
    <row r="1">
      <c r="A1" s="1" t="s">
        <v>170</v>
      </c>
      <c r="B1" s="1" t="s">
        <v>3040</v>
      </c>
      <c r="C1" s="1" t="s">
        <v>3041</v>
      </c>
    </row>
    <row r="2">
      <c r="A2" s="1" t="s">
        <v>156</v>
      </c>
      <c r="B2" s="1" t="s">
        <v>3042</v>
      </c>
      <c r="C2" s="1">
        <v>18.0</v>
      </c>
    </row>
    <row r="3">
      <c r="A3" s="1" t="s">
        <v>156</v>
      </c>
      <c r="B3" s="1" t="s">
        <v>3043</v>
      </c>
      <c r="C3" s="1">
        <v>28.0</v>
      </c>
    </row>
    <row r="4">
      <c r="A4" s="1" t="s">
        <v>156</v>
      </c>
      <c r="B4" s="1" t="s">
        <v>3044</v>
      </c>
      <c r="C4" s="1">
        <v>2.0</v>
      </c>
    </row>
    <row r="5">
      <c r="A5" s="1" t="s">
        <v>156</v>
      </c>
      <c r="B5" s="1" t="s">
        <v>3045</v>
      </c>
      <c r="C5" s="1">
        <v>88.0</v>
      </c>
    </row>
    <row r="6">
      <c r="A6" s="1" t="s">
        <v>156</v>
      </c>
      <c r="B6" s="1" t="s">
        <v>3046</v>
      </c>
      <c r="C6" s="1">
        <v>21.0</v>
      </c>
    </row>
    <row r="7">
      <c r="A7" s="1" t="s">
        <v>157</v>
      </c>
      <c r="B7" s="1" t="s">
        <v>3042</v>
      </c>
      <c r="C7" s="1">
        <v>56.0</v>
      </c>
    </row>
    <row r="8">
      <c r="A8" s="1" t="s">
        <v>157</v>
      </c>
      <c r="B8" s="1" t="s">
        <v>3043</v>
      </c>
      <c r="C8" s="1">
        <v>71.0</v>
      </c>
    </row>
    <row r="9">
      <c r="A9" s="1" t="s">
        <v>157</v>
      </c>
      <c r="B9" s="1" t="s">
        <v>3044</v>
      </c>
      <c r="C9" s="1">
        <v>4.0</v>
      </c>
    </row>
    <row r="10">
      <c r="A10" s="1" t="s">
        <v>157</v>
      </c>
      <c r="B10" s="1" t="s">
        <v>3045</v>
      </c>
      <c r="C10" s="1">
        <v>160.0</v>
      </c>
    </row>
    <row r="11">
      <c r="A11" s="1" t="s">
        <v>157</v>
      </c>
      <c r="B11" s="1" t="s">
        <v>3046</v>
      </c>
      <c r="C11" s="1">
        <v>50.0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5.88"/>
    <col customWidth="1" min="3" max="3" width="6.0"/>
  </cols>
  <sheetData>
    <row r="1">
      <c r="A1" s="1" t="str">
        <f>'03-death-disability-level'!A1</f>
        <v>_study</v>
      </c>
      <c r="B1" s="1" t="str">
        <f>'03-death-disability-level'!B1</f>
        <v>deathDisabilityLevel</v>
      </c>
      <c r="C1" s="1" t="str">
        <f>'03-death-disability-level'!C1</f>
        <v>_count</v>
      </c>
      <c r="D1" s="6" t="s">
        <v>169</v>
      </c>
      <c r="E1" s="6" t="s">
        <v>169</v>
      </c>
    </row>
    <row r="2">
      <c r="A2" s="1" t="str">
        <f>'03-death-disability-level'!A2</f>
        <v>LH</v>
      </c>
      <c r="B2" s="1" t="str">
        <f>'03-death-disability-level'!B2</f>
        <v>death</v>
      </c>
      <c r="C2" s="1">
        <f>'03-death-disability-level'!C2</f>
        <v>18</v>
      </c>
    </row>
    <row r="3">
      <c r="A3" s="1" t="str">
        <f>'03-death-disability-level'!A3</f>
        <v>LH</v>
      </c>
      <c r="B3" s="1" t="str">
        <f>'03-death-disability-level'!B3</f>
        <v>mild</v>
      </c>
      <c r="C3" s="1">
        <f>'03-death-disability-level'!C3</f>
        <v>28</v>
      </c>
    </row>
    <row r="4">
      <c r="A4" s="1" t="str">
        <f>'03-death-disability-level'!A4</f>
        <v>LH</v>
      </c>
      <c r="B4" s="1" t="str">
        <f>'03-death-disability-level'!B4</f>
        <v>moderate</v>
      </c>
      <c r="C4" s="1">
        <f>'03-death-disability-level'!C4</f>
        <v>2</v>
      </c>
    </row>
    <row r="5">
      <c r="A5" s="1" t="str">
        <f>'03-death-disability-level'!A5</f>
        <v>LH</v>
      </c>
      <c r="B5" s="1" t="str">
        <f>'03-death-disability-level'!B5</f>
        <v>normal</v>
      </c>
      <c r="C5" s="1">
        <f>'03-death-disability-level'!C5</f>
        <v>88</v>
      </c>
    </row>
    <row r="6">
      <c r="A6" s="1" t="str">
        <f>'03-death-disability-level'!A6</f>
        <v>LH</v>
      </c>
      <c r="B6" s="1" t="str">
        <f>'03-death-disability-level'!B6</f>
        <v>severe</v>
      </c>
      <c r="C6" s="1">
        <f>'03-death-disability-level'!C6</f>
        <v>21</v>
      </c>
    </row>
    <row r="7">
      <c r="A7" s="1" t="str">
        <f>'03-death-disability-level'!A7</f>
        <v>OC</v>
      </c>
      <c r="B7" s="1" t="str">
        <f>'03-death-disability-level'!B7</f>
        <v>death</v>
      </c>
      <c r="C7" s="1">
        <f>'03-death-disability-level'!C7</f>
        <v>56</v>
      </c>
    </row>
    <row r="8">
      <c r="A8" s="1" t="str">
        <f>'03-death-disability-level'!A8</f>
        <v>OC</v>
      </c>
      <c r="B8" s="1" t="str">
        <f>'03-death-disability-level'!B8</f>
        <v>mild</v>
      </c>
      <c r="C8" s="1">
        <f>'03-death-disability-level'!C8</f>
        <v>71</v>
      </c>
    </row>
    <row r="9">
      <c r="A9" s="1" t="str">
        <f>'03-death-disability-level'!A9</f>
        <v>OC</v>
      </c>
      <c r="B9" s="1" t="str">
        <f>'03-death-disability-level'!B9</f>
        <v>moderate</v>
      </c>
      <c r="C9" s="1">
        <f>'03-death-disability-level'!C9</f>
        <v>4</v>
      </c>
    </row>
    <row r="10">
      <c r="A10" s="1" t="str">
        <f>'03-death-disability-level'!A10</f>
        <v>OC</v>
      </c>
      <c r="B10" s="1" t="str">
        <f>'03-death-disability-level'!B10</f>
        <v>normal</v>
      </c>
      <c r="C10" s="1">
        <f>'03-death-disability-level'!C10</f>
        <v>160</v>
      </c>
    </row>
    <row r="11">
      <c r="A11" s="1" t="str">
        <f>'03-death-disability-level'!A11</f>
        <v>OC</v>
      </c>
      <c r="B11" s="1" t="str">
        <f>'03-death-disability-level'!B11</f>
        <v>severe</v>
      </c>
      <c r="C11" s="1">
        <f>'03-death-disability-level'!C11</f>
        <v>50</v>
      </c>
    </row>
    <row r="12">
      <c r="A12" s="1" t="s">
        <v>156</v>
      </c>
      <c r="B12" s="1" t="s">
        <v>3047</v>
      </c>
      <c r="C12" s="1">
        <v>11.0</v>
      </c>
    </row>
    <row r="13">
      <c r="A13" s="1" t="s">
        <v>157</v>
      </c>
      <c r="B13" s="1" t="s">
        <v>3047</v>
      </c>
      <c r="C13" s="1">
        <v>23.0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I1" s="14"/>
    </row>
    <row r="2">
      <c r="I2" s="16" t="s">
        <v>3049</v>
      </c>
      <c r="J2" s="1" t="s">
        <v>3050</v>
      </c>
      <c r="K2" s="1" t="s">
        <v>3051</v>
      </c>
      <c r="L2" s="1" t="s">
        <v>3052</v>
      </c>
      <c r="M2" s="1" t="s">
        <v>3053</v>
      </c>
      <c r="N2" s="1" t="s">
        <v>3054</v>
      </c>
    </row>
    <row r="3">
      <c r="I3" s="14">
        <f t="shared" ref="I3:N3" si="1">B3/$H3</f>
        <v>0.1071428571</v>
      </c>
      <c r="J3" s="14">
        <f t="shared" si="1"/>
        <v>0.1666666667</v>
      </c>
      <c r="K3" s="14">
        <f t="shared" si="1"/>
        <v>0.06547619048</v>
      </c>
      <c r="L3" s="14">
        <f t="shared" si="1"/>
        <v>0.0119047619</v>
      </c>
      <c r="M3" s="14">
        <f t="shared" si="1"/>
        <v>0.5238095238</v>
      </c>
      <c r="N3" s="14">
        <f t="shared" si="1"/>
        <v>0.125</v>
      </c>
      <c r="O3" s="14">
        <f t="shared" ref="O3:O5" si="3">sum(I3:N3)</f>
        <v>1</v>
      </c>
    </row>
    <row r="4">
      <c r="I4" s="14">
        <f t="shared" ref="I4:N4" si="2">B4/$H4</f>
        <v>0.1538461538</v>
      </c>
      <c r="J4" s="14">
        <f t="shared" si="2"/>
        <v>0.1950549451</v>
      </c>
      <c r="K4" s="14">
        <f t="shared" si="2"/>
        <v>0.06318681319</v>
      </c>
      <c r="L4" s="14">
        <f t="shared" si="2"/>
        <v>0.01098901099</v>
      </c>
      <c r="M4" s="14">
        <f t="shared" si="2"/>
        <v>0.4395604396</v>
      </c>
      <c r="N4" s="14">
        <f t="shared" si="2"/>
        <v>0.1373626374</v>
      </c>
      <c r="O4" s="14">
        <f t="shared" si="3"/>
        <v>1</v>
      </c>
    </row>
    <row r="5">
      <c r="I5" s="14">
        <f t="shared" ref="I5:N5" si="4">B5/$H5</f>
        <v>0.1390977444</v>
      </c>
      <c r="J5" s="14">
        <f t="shared" si="4"/>
        <v>0.1860902256</v>
      </c>
      <c r="K5" s="14">
        <f t="shared" si="4"/>
        <v>0.06390977444</v>
      </c>
      <c r="L5" s="14">
        <f t="shared" si="4"/>
        <v>0.01127819549</v>
      </c>
      <c r="M5" s="14">
        <f t="shared" si="4"/>
        <v>0.4661654135</v>
      </c>
      <c r="N5" s="14">
        <f t="shared" si="4"/>
        <v>0.1334586466</v>
      </c>
      <c r="O5" s="14">
        <f t="shared" si="3"/>
        <v>1</v>
      </c>
    </row>
    <row r="6">
      <c r="H6" s="13"/>
      <c r="I6" s="14"/>
    </row>
    <row r="7">
      <c r="H7" s="13"/>
      <c r="I7" s="14"/>
    </row>
    <row r="8">
      <c r="H8" s="13"/>
      <c r="I8" s="14"/>
    </row>
    <row r="9">
      <c r="H9" s="13"/>
      <c r="I9" s="14"/>
    </row>
    <row r="10">
      <c r="H10" s="13"/>
      <c r="I10" s="14"/>
    </row>
    <row r="11">
      <c r="H11" s="13"/>
      <c r="I11" s="14"/>
    </row>
    <row r="12">
      <c r="H12" s="13"/>
      <c r="I12" s="14"/>
    </row>
    <row r="13">
      <c r="H13" s="13"/>
      <c r="I13" s="14"/>
    </row>
    <row r="14">
      <c r="H14" s="13"/>
      <c r="I14" s="14"/>
    </row>
    <row r="15">
      <c r="H15" s="13"/>
      <c r="I15" s="14"/>
    </row>
    <row r="16">
      <c r="H16" s="13"/>
      <c r="I16" s="14"/>
    </row>
    <row r="17">
      <c r="H17" s="13"/>
      <c r="I17" s="14"/>
    </row>
    <row r="18">
      <c r="H18" s="13"/>
      <c r="I18" s="14"/>
    </row>
    <row r="19">
      <c r="H19" s="13"/>
      <c r="I19" s="14"/>
    </row>
    <row r="20">
      <c r="H20" s="13"/>
      <c r="I20" s="14"/>
    </row>
    <row r="21">
      <c r="H21" s="13"/>
      <c r="I21" s="14"/>
    </row>
    <row r="22">
      <c r="H22" s="13"/>
      <c r="I22" s="14"/>
    </row>
    <row r="23">
      <c r="H23" s="13"/>
      <c r="I23" s="14"/>
    </row>
    <row r="24">
      <c r="H24" s="13"/>
      <c r="I24" s="14"/>
    </row>
    <row r="25">
      <c r="H25" s="13"/>
      <c r="I25" s="14"/>
    </row>
    <row r="26">
      <c r="H26" s="13"/>
      <c r="I26" s="14"/>
    </row>
    <row r="27">
      <c r="H27" s="13"/>
      <c r="I27" s="14"/>
    </row>
    <row r="28">
      <c r="H28" s="13"/>
      <c r="I28" s="14"/>
    </row>
    <row r="29">
      <c r="H29" s="13"/>
      <c r="I29" s="14"/>
    </row>
    <row r="30">
      <c r="H30" s="13"/>
      <c r="I30" s="14"/>
    </row>
    <row r="31">
      <c r="H31" s="13"/>
      <c r="I31" s="14"/>
    </row>
    <row r="32">
      <c r="H32" s="13"/>
      <c r="I32" s="14"/>
    </row>
    <row r="33">
      <c r="H33" s="13"/>
      <c r="I33" s="14"/>
    </row>
    <row r="34">
      <c r="H34" s="13"/>
      <c r="I34" s="14"/>
    </row>
    <row r="35">
      <c r="H35" s="13"/>
      <c r="I35" s="14"/>
    </row>
    <row r="36">
      <c r="H36" s="13"/>
      <c r="I36" s="14"/>
    </row>
    <row r="37">
      <c r="H37" s="13"/>
      <c r="I37" s="14"/>
    </row>
    <row r="38">
      <c r="H38" s="13"/>
      <c r="I38" s="14"/>
    </row>
    <row r="39">
      <c r="H39" s="13"/>
      <c r="I39" s="14"/>
    </row>
    <row r="40">
      <c r="H40" s="13"/>
      <c r="I40" s="14"/>
    </row>
    <row r="41">
      <c r="H41" s="13"/>
      <c r="I41" s="14"/>
    </row>
    <row r="42">
      <c r="H42" s="13"/>
      <c r="I42" s="14"/>
    </row>
    <row r="43">
      <c r="H43" s="13"/>
      <c r="I43" s="14"/>
    </row>
    <row r="44">
      <c r="H44" s="13"/>
      <c r="I44" s="14"/>
    </row>
    <row r="45">
      <c r="H45" s="13"/>
      <c r="I45" s="14"/>
    </row>
    <row r="46">
      <c r="H46" s="13"/>
      <c r="I46" s="14"/>
    </row>
    <row r="47">
      <c r="H47" s="13"/>
      <c r="I47" s="14"/>
    </row>
    <row r="48">
      <c r="H48" s="13"/>
      <c r="I48" s="14"/>
    </row>
    <row r="49">
      <c r="H49" s="13"/>
      <c r="I49" s="14"/>
    </row>
    <row r="50">
      <c r="H50" s="13"/>
      <c r="I50" s="14"/>
    </row>
    <row r="51">
      <c r="H51" s="13"/>
      <c r="I51" s="14"/>
    </row>
    <row r="52">
      <c r="H52" s="13"/>
      <c r="I52" s="14"/>
    </row>
    <row r="53">
      <c r="H53" s="13"/>
      <c r="I53" s="14"/>
    </row>
    <row r="54">
      <c r="H54" s="13"/>
      <c r="I54" s="14"/>
    </row>
    <row r="55">
      <c r="H55" s="13"/>
      <c r="I55" s="14"/>
    </row>
    <row r="56">
      <c r="H56" s="13"/>
      <c r="I56" s="14"/>
    </row>
    <row r="57">
      <c r="H57" s="13"/>
      <c r="I57" s="14"/>
    </row>
    <row r="58">
      <c r="H58" s="13"/>
      <c r="I58" s="14"/>
    </row>
    <row r="59">
      <c r="H59" s="13"/>
      <c r="I59" s="14"/>
    </row>
    <row r="60">
      <c r="H60" s="13"/>
      <c r="I60" s="14"/>
    </row>
    <row r="61">
      <c r="H61" s="13"/>
      <c r="I61" s="14"/>
    </row>
    <row r="62">
      <c r="H62" s="13"/>
      <c r="I62" s="14"/>
    </row>
    <row r="63">
      <c r="H63" s="13"/>
      <c r="I63" s="14"/>
    </row>
    <row r="64">
      <c r="H64" s="13"/>
      <c r="I64" s="14"/>
    </row>
    <row r="65">
      <c r="H65" s="13"/>
      <c r="I65" s="14"/>
    </row>
    <row r="66">
      <c r="H66" s="13"/>
      <c r="I66" s="14"/>
    </row>
    <row r="67">
      <c r="H67" s="13"/>
      <c r="I67" s="14"/>
    </row>
    <row r="68">
      <c r="H68" s="13"/>
      <c r="I68" s="14"/>
    </row>
    <row r="69">
      <c r="H69" s="13"/>
      <c r="I69" s="14"/>
    </row>
    <row r="70">
      <c r="H70" s="13"/>
      <c r="I70" s="14"/>
    </row>
    <row r="71">
      <c r="H71" s="13"/>
      <c r="I71" s="14"/>
    </row>
    <row r="72">
      <c r="H72" s="13"/>
      <c r="I72" s="14"/>
    </row>
    <row r="73">
      <c r="H73" s="13"/>
      <c r="I73" s="14"/>
    </row>
    <row r="74">
      <c r="H74" s="13"/>
      <c r="I74" s="14"/>
    </row>
    <row r="75">
      <c r="H75" s="13"/>
      <c r="I75" s="14"/>
    </row>
    <row r="76">
      <c r="H76" s="13"/>
      <c r="I76" s="14"/>
    </row>
    <row r="77">
      <c r="H77" s="13"/>
      <c r="I77" s="14"/>
    </row>
    <row r="78">
      <c r="H78" s="13"/>
      <c r="I78" s="14"/>
    </row>
    <row r="79">
      <c r="H79" s="13"/>
      <c r="I79" s="14"/>
    </row>
    <row r="80">
      <c r="H80" s="13"/>
      <c r="I80" s="14"/>
    </row>
    <row r="81">
      <c r="H81" s="13"/>
      <c r="I81" s="14"/>
    </row>
    <row r="82">
      <c r="H82" s="13"/>
      <c r="I82" s="14"/>
    </row>
    <row r="83">
      <c r="H83" s="13"/>
      <c r="I83" s="14"/>
    </row>
    <row r="84">
      <c r="H84" s="13"/>
      <c r="I84" s="14"/>
    </row>
    <row r="85">
      <c r="H85" s="13"/>
      <c r="I85" s="14"/>
    </row>
    <row r="86">
      <c r="H86" s="13"/>
      <c r="I86" s="14"/>
    </row>
    <row r="87">
      <c r="H87" s="13"/>
      <c r="I87" s="14"/>
    </row>
    <row r="88">
      <c r="H88" s="13"/>
      <c r="I88" s="14"/>
    </row>
    <row r="89">
      <c r="H89" s="13"/>
      <c r="I89" s="14"/>
    </row>
    <row r="90">
      <c r="H90" s="13"/>
      <c r="I90" s="14"/>
    </row>
    <row r="91">
      <c r="H91" s="13"/>
      <c r="I91" s="14"/>
    </row>
    <row r="92">
      <c r="H92" s="13"/>
      <c r="I92" s="14"/>
    </row>
    <row r="93">
      <c r="H93" s="13"/>
      <c r="I93" s="14"/>
    </row>
    <row r="94">
      <c r="H94" s="13"/>
      <c r="I94" s="14"/>
    </row>
    <row r="95">
      <c r="H95" s="13"/>
      <c r="I95" s="14"/>
    </row>
    <row r="96">
      <c r="H96" s="13"/>
      <c r="I96" s="14"/>
    </row>
    <row r="97">
      <c r="H97" s="13"/>
      <c r="I97" s="14"/>
    </row>
    <row r="98">
      <c r="H98" s="13"/>
      <c r="I98" s="14"/>
    </row>
    <row r="99">
      <c r="H99" s="13"/>
      <c r="I99" s="14"/>
    </row>
    <row r="100">
      <c r="H100" s="13"/>
      <c r="I100" s="14"/>
    </row>
    <row r="101">
      <c r="H101" s="13"/>
      <c r="I101" s="14"/>
    </row>
    <row r="102">
      <c r="H102" s="13"/>
      <c r="I102" s="14"/>
    </row>
    <row r="103">
      <c r="H103" s="13"/>
      <c r="I103" s="14"/>
    </row>
    <row r="104">
      <c r="H104" s="13"/>
      <c r="I104" s="14"/>
    </row>
    <row r="105">
      <c r="H105" s="13"/>
      <c r="I105" s="14"/>
    </row>
    <row r="106">
      <c r="H106" s="13"/>
      <c r="I106" s="14"/>
    </row>
    <row r="107">
      <c r="H107" s="13"/>
      <c r="I107" s="14"/>
    </row>
    <row r="108">
      <c r="H108" s="13"/>
      <c r="I108" s="14"/>
    </row>
    <row r="109">
      <c r="H109" s="13"/>
      <c r="I109" s="14"/>
    </row>
    <row r="110">
      <c r="H110" s="13"/>
      <c r="I110" s="14"/>
    </row>
    <row r="111">
      <c r="H111" s="13"/>
      <c r="I111" s="14"/>
    </row>
    <row r="112">
      <c r="H112" s="13"/>
      <c r="I112" s="14"/>
    </row>
    <row r="113">
      <c r="H113" s="13"/>
      <c r="I113" s="14"/>
    </row>
    <row r="114">
      <c r="H114" s="13"/>
      <c r="I114" s="14"/>
    </row>
    <row r="115">
      <c r="H115" s="13"/>
      <c r="I115" s="14"/>
    </row>
    <row r="116">
      <c r="H116" s="13"/>
      <c r="I116" s="14"/>
    </row>
    <row r="117">
      <c r="H117" s="13"/>
      <c r="I117" s="14"/>
    </row>
    <row r="118">
      <c r="H118" s="13"/>
      <c r="I118" s="14"/>
    </row>
    <row r="119">
      <c r="H119" s="13"/>
      <c r="I119" s="14"/>
    </row>
    <row r="120">
      <c r="H120" s="13"/>
      <c r="I120" s="14"/>
    </row>
    <row r="121">
      <c r="H121" s="13"/>
      <c r="I121" s="14"/>
    </row>
    <row r="122">
      <c r="H122" s="13"/>
      <c r="I122" s="14"/>
    </row>
    <row r="123">
      <c r="H123" s="13"/>
      <c r="I123" s="14"/>
    </row>
    <row r="124">
      <c r="H124" s="13"/>
      <c r="I124" s="14"/>
    </row>
    <row r="125">
      <c r="H125" s="13"/>
      <c r="I125" s="14"/>
    </row>
    <row r="126">
      <c r="H126" s="13"/>
      <c r="I126" s="14"/>
    </row>
    <row r="127">
      <c r="H127" s="13"/>
      <c r="I127" s="14"/>
    </row>
    <row r="128">
      <c r="H128" s="13"/>
      <c r="I128" s="14"/>
    </row>
    <row r="129">
      <c r="H129" s="13"/>
      <c r="I129" s="14"/>
    </row>
    <row r="130">
      <c r="H130" s="13"/>
      <c r="I130" s="14"/>
    </row>
    <row r="131">
      <c r="H131" s="13"/>
      <c r="I131" s="14"/>
    </row>
    <row r="132">
      <c r="H132" s="13"/>
      <c r="I132" s="14"/>
    </row>
    <row r="133">
      <c r="H133" s="13"/>
      <c r="I133" s="14"/>
    </row>
    <row r="134">
      <c r="H134" s="13"/>
      <c r="I134" s="14"/>
    </row>
    <row r="135">
      <c r="H135" s="13"/>
      <c r="I135" s="14"/>
    </row>
    <row r="136">
      <c r="H136" s="13"/>
      <c r="I136" s="14"/>
    </row>
    <row r="137">
      <c r="H137" s="13"/>
      <c r="I137" s="14"/>
    </row>
    <row r="138">
      <c r="H138" s="13"/>
      <c r="I138" s="14"/>
    </row>
    <row r="139">
      <c r="H139" s="13"/>
      <c r="I139" s="14"/>
    </row>
    <row r="140">
      <c r="H140" s="13"/>
      <c r="I140" s="14"/>
    </row>
    <row r="141">
      <c r="H141" s="13"/>
      <c r="I141" s="14"/>
    </row>
    <row r="142">
      <c r="H142" s="13"/>
      <c r="I142" s="14"/>
    </row>
    <row r="143">
      <c r="H143" s="13"/>
      <c r="I143" s="14"/>
    </row>
    <row r="144">
      <c r="H144" s="13"/>
      <c r="I144" s="14"/>
    </row>
    <row r="145">
      <c r="H145" s="13"/>
      <c r="I145" s="14"/>
    </row>
    <row r="146">
      <c r="H146" s="13"/>
      <c r="I146" s="14"/>
    </row>
    <row r="147">
      <c r="H147" s="13"/>
      <c r="I147" s="14"/>
    </row>
    <row r="148">
      <c r="H148" s="13"/>
      <c r="I148" s="14"/>
    </row>
    <row r="149">
      <c r="H149" s="13"/>
      <c r="I149" s="14"/>
    </row>
    <row r="150">
      <c r="H150" s="13"/>
      <c r="I150" s="14"/>
    </row>
    <row r="151">
      <c r="H151" s="13"/>
      <c r="I151" s="14"/>
    </row>
    <row r="152">
      <c r="H152" s="13"/>
      <c r="I152" s="14"/>
    </row>
    <row r="153">
      <c r="H153" s="13"/>
      <c r="I153" s="14"/>
    </row>
    <row r="154">
      <c r="H154" s="13"/>
      <c r="I154" s="14"/>
    </row>
    <row r="155">
      <c r="H155" s="13"/>
      <c r="I155" s="14"/>
    </row>
    <row r="156">
      <c r="H156" s="13"/>
      <c r="I156" s="14"/>
    </row>
    <row r="157">
      <c r="H157" s="13"/>
      <c r="I157" s="14"/>
    </row>
    <row r="158">
      <c r="H158" s="13"/>
      <c r="I158" s="14"/>
    </row>
    <row r="159">
      <c r="H159" s="13"/>
      <c r="I159" s="14"/>
    </row>
    <row r="160">
      <c r="H160" s="13"/>
      <c r="I160" s="14"/>
    </row>
    <row r="161">
      <c r="H161" s="13"/>
      <c r="I161" s="14"/>
    </row>
    <row r="162">
      <c r="H162" s="13"/>
      <c r="I162" s="14"/>
    </row>
    <row r="163">
      <c r="H163" s="13"/>
      <c r="I163" s="14"/>
    </row>
    <row r="164">
      <c r="H164" s="13"/>
      <c r="I164" s="14"/>
    </row>
    <row r="165">
      <c r="H165" s="13"/>
      <c r="I165" s="14"/>
    </row>
    <row r="166">
      <c r="H166" s="13"/>
      <c r="I166" s="14"/>
    </row>
    <row r="167">
      <c r="H167" s="13"/>
      <c r="I167" s="14"/>
    </row>
    <row r="168">
      <c r="H168" s="13"/>
      <c r="I168" s="14"/>
    </row>
    <row r="169">
      <c r="H169" s="13"/>
      <c r="I169" s="14"/>
    </row>
    <row r="170">
      <c r="H170" s="13"/>
      <c r="I170" s="14"/>
    </row>
    <row r="171">
      <c r="H171" s="13"/>
      <c r="I171" s="14"/>
    </row>
    <row r="172">
      <c r="H172" s="13"/>
      <c r="I172" s="14"/>
    </row>
    <row r="173">
      <c r="H173" s="13"/>
      <c r="I173" s="14"/>
    </row>
    <row r="174">
      <c r="H174" s="13"/>
      <c r="I174" s="14"/>
    </row>
    <row r="175">
      <c r="H175" s="13"/>
      <c r="I175" s="14"/>
    </row>
    <row r="176">
      <c r="H176" s="13"/>
      <c r="I176" s="14"/>
    </row>
    <row r="177">
      <c r="H177" s="13"/>
      <c r="I177" s="14"/>
    </row>
    <row r="178">
      <c r="H178" s="13"/>
      <c r="I178" s="14"/>
    </row>
    <row r="179">
      <c r="H179" s="13"/>
      <c r="I179" s="14"/>
    </row>
    <row r="180">
      <c r="H180" s="13"/>
      <c r="I180" s="14"/>
    </row>
    <row r="181">
      <c r="H181" s="13"/>
      <c r="I181" s="14"/>
    </row>
    <row r="182">
      <c r="H182" s="13"/>
      <c r="I182" s="14"/>
    </row>
    <row r="183">
      <c r="H183" s="13"/>
      <c r="I183" s="14"/>
    </row>
    <row r="184">
      <c r="H184" s="13"/>
      <c r="I184" s="14"/>
    </row>
    <row r="185">
      <c r="H185" s="13"/>
      <c r="I185" s="14"/>
    </row>
    <row r="186">
      <c r="H186" s="13"/>
      <c r="I186" s="14"/>
    </row>
    <row r="187">
      <c r="H187" s="13"/>
      <c r="I187" s="14"/>
    </row>
    <row r="188">
      <c r="H188" s="13"/>
      <c r="I188" s="14"/>
    </row>
    <row r="189">
      <c r="H189" s="13"/>
      <c r="I189" s="14"/>
    </row>
    <row r="190">
      <c r="H190" s="13"/>
      <c r="I190" s="14"/>
    </row>
    <row r="191">
      <c r="H191" s="13"/>
      <c r="I191" s="14"/>
    </row>
    <row r="192">
      <c r="H192" s="13"/>
      <c r="I192" s="14"/>
    </row>
    <row r="193">
      <c r="H193" s="13"/>
      <c r="I193" s="14"/>
    </row>
    <row r="194">
      <c r="H194" s="13"/>
      <c r="I194" s="14"/>
    </row>
    <row r="195">
      <c r="H195" s="13"/>
      <c r="I195" s="14"/>
    </row>
    <row r="196">
      <c r="H196" s="13"/>
      <c r="I196" s="14"/>
    </row>
    <row r="197">
      <c r="H197" s="13"/>
      <c r="I197" s="14"/>
    </row>
    <row r="198">
      <c r="H198" s="13"/>
      <c r="I198" s="14"/>
    </row>
    <row r="199">
      <c r="H199" s="13"/>
      <c r="I199" s="14"/>
    </row>
    <row r="200">
      <c r="H200" s="13"/>
      <c r="I200" s="14"/>
    </row>
    <row r="201">
      <c r="H201" s="13"/>
      <c r="I201" s="14"/>
    </row>
    <row r="202">
      <c r="H202" s="13"/>
      <c r="I202" s="14"/>
    </row>
    <row r="203">
      <c r="H203" s="13"/>
      <c r="I203" s="14"/>
    </row>
    <row r="204">
      <c r="H204" s="13"/>
      <c r="I204" s="14"/>
    </row>
    <row r="205">
      <c r="H205" s="13"/>
      <c r="I205" s="14"/>
    </row>
    <row r="206">
      <c r="H206" s="13"/>
      <c r="I206" s="14"/>
    </row>
    <row r="207">
      <c r="H207" s="13"/>
      <c r="I207" s="14"/>
    </row>
    <row r="208">
      <c r="H208" s="13"/>
      <c r="I208" s="14"/>
    </row>
    <row r="209">
      <c r="H209" s="13"/>
      <c r="I209" s="14"/>
    </row>
    <row r="210">
      <c r="H210" s="13"/>
      <c r="I210" s="14"/>
    </row>
    <row r="211">
      <c r="H211" s="13"/>
      <c r="I211" s="14"/>
    </row>
    <row r="212">
      <c r="H212" s="13"/>
      <c r="I212" s="14"/>
    </row>
    <row r="213">
      <c r="H213" s="13"/>
      <c r="I213" s="14"/>
    </row>
    <row r="214">
      <c r="H214" s="13"/>
      <c r="I214" s="14"/>
    </row>
    <row r="215">
      <c r="H215" s="13"/>
      <c r="I215" s="14"/>
    </row>
    <row r="216">
      <c r="H216" s="13"/>
      <c r="I216" s="14"/>
    </row>
    <row r="217">
      <c r="H217" s="13"/>
      <c r="I217" s="14"/>
    </row>
    <row r="218">
      <c r="H218" s="13"/>
      <c r="I218" s="14"/>
    </row>
    <row r="219">
      <c r="H219" s="13"/>
      <c r="I219" s="14"/>
    </row>
    <row r="220">
      <c r="H220" s="13"/>
      <c r="I220" s="14"/>
    </row>
    <row r="221">
      <c r="H221" s="13"/>
      <c r="I221" s="14"/>
    </row>
    <row r="222">
      <c r="H222" s="13"/>
      <c r="I222" s="14"/>
    </row>
    <row r="223">
      <c r="H223" s="13"/>
      <c r="I223" s="14"/>
    </row>
    <row r="224">
      <c r="H224" s="13"/>
      <c r="I224" s="14"/>
    </row>
    <row r="225">
      <c r="H225" s="13"/>
      <c r="I225" s="14"/>
    </row>
    <row r="226">
      <c r="H226" s="13"/>
      <c r="I226" s="14"/>
    </row>
    <row r="227">
      <c r="H227" s="13"/>
      <c r="I227" s="14"/>
    </row>
    <row r="228">
      <c r="H228" s="13"/>
      <c r="I228" s="14"/>
    </row>
    <row r="229">
      <c r="H229" s="13"/>
      <c r="I229" s="14"/>
    </row>
    <row r="230">
      <c r="H230" s="13"/>
      <c r="I230" s="14"/>
    </row>
    <row r="231">
      <c r="H231" s="13"/>
      <c r="I231" s="14"/>
    </row>
    <row r="232">
      <c r="H232" s="13"/>
      <c r="I232" s="14"/>
    </row>
    <row r="233">
      <c r="H233" s="13"/>
      <c r="I233" s="14"/>
    </row>
    <row r="234">
      <c r="H234" s="13"/>
      <c r="I234" s="14"/>
    </row>
    <row r="235">
      <c r="H235" s="13"/>
      <c r="I235" s="14"/>
    </row>
    <row r="236">
      <c r="H236" s="13"/>
      <c r="I236" s="14"/>
    </row>
    <row r="237">
      <c r="H237" s="13"/>
      <c r="I237" s="14"/>
    </row>
    <row r="238">
      <c r="H238" s="13"/>
      <c r="I238" s="14"/>
    </row>
    <row r="239">
      <c r="H239" s="13"/>
      <c r="I239" s="14"/>
    </row>
    <row r="240">
      <c r="H240" s="13"/>
      <c r="I240" s="14"/>
    </row>
    <row r="241">
      <c r="H241" s="13"/>
      <c r="I241" s="14"/>
    </row>
    <row r="242">
      <c r="H242" s="13"/>
      <c r="I242" s="14"/>
    </row>
    <row r="243">
      <c r="H243" s="13"/>
      <c r="I243" s="14"/>
    </row>
    <row r="244">
      <c r="H244" s="13"/>
      <c r="I244" s="14"/>
    </row>
    <row r="245">
      <c r="H245" s="13"/>
      <c r="I245" s="14"/>
    </row>
    <row r="246">
      <c r="H246" s="13"/>
      <c r="I246" s="14"/>
    </row>
    <row r="247">
      <c r="H247" s="13"/>
      <c r="I247" s="14"/>
    </row>
    <row r="248">
      <c r="H248" s="13"/>
      <c r="I248" s="14"/>
    </row>
    <row r="249">
      <c r="H249" s="13"/>
      <c r="I249" s="14"/>
    </row>
    <row r="250">
      <c r="H250" s="13"/>
      <c r="I250" s="14"/>
    </row>
    <row r="251">
      <c r="H251" s="13"/>
      <c r="I251" s="14"/>
    </row>
    <row r="252">
      <c r="H252" s="13"/>
      <c r="I252" s="14"/>
    </row>
    <row r="253">
      <c r="H253" s="13"/>
      <c r="I253" s="14"/>
    </row>
    <row r="254">
      <c r="H254" s="13"/>
      <c r="I254" s="14"/>
    </row>
    <row r="255">
      <c r="H255" s="13"/>
      <c r="I255" s="14"/>
    </row>
    <row r="256">
      <c r="H256" s="13"/>
      <c r="I256" s="14"/>
    </row>
    <row r="257">
      <c r="H257" s="13"/>
      <c r="I257" s="14"/>
    </row>
    <row r="258">
      <c r="H258" s="13"/>
      <c r="I258" s="14"/>
    </row>
    <row r="259">
      <c r="H259" s="13"/>
      <c r="I259" s="14"/>
    </row>
    <row r="260">
      <c r="H260" s="13"/>
      <c r="I260" s="14"/>
    </row>
    <row r="261">
      <c r="H261" s="13"/>
      <c r="I261" s="14"/>
    </row>
    <row r="262">
      <c r="H262" s="13"/>
      <c r="I262" s="14"/>
    </row>
    <row r="263">
      <c r="H263" s="13"/>
      <c r="I263" s="14"/>
    </row>
    <row r="264">
      <c r="H264" s="13"/>
      <c r="I264" s="14"/>
    </row>
    <row r="265">
      <c r="H265" s="13"/>
      <c r="I265" s="14"/>
    </row>
    <row r="266">
      <c r="H266" s="13"/>
      <c r="I266" s="14"/>
    </row>
    <row r="267">
      <c r="H267" s="13"/>
      <c r="I267" s="14"/>
    </row>
    <row r="268">
      <c r="H268" s="13"/>
      <c r="I268" s="14"/>
    </row>
    <row r="269">
      <c r="H269" s="13"/>
      <c r="I269" s="14"/>
    </row>
    <row r="270">
      <c r="H270" s="13"/>
      <c r="I270" s="14"/>
    </row>
    <row r="271">
      <c r="H271" s="13"/>
      <c r="I271" s="14"/>
    </row>
    <row r="272">
      <c r="H272" s="13"/>
      <c r="I272" s="14"/>
    </row>
    <row r="273">
      <c r="H273" s="13"/>
      <c r="I273" s="14"/>
    </row>
    <row r="274">
      <c r="H274" s="13"/>
      <c r="I274" s="14"/>
    </row>
    <row r="275">
      <c r="H275" s="13"/>
      <c r="I275" s="14"/>
    </row>
    <row r="276">
      <c r="H276" s="13"/>
      <c r="I276" s="14"/>
    </row>
    <row r="277">
      <c r="H277" s="13"/>
      <c r="I277" s="14"/>
    </row>
    <row r="278">
      <c r="H278" s="13"/>
      <c r="I278" s="14"/>
    </row>
    <row r="279">
      <c r="H279" s="13"/>
      <c r="I279" s="14"/>
    </row>
    <row r="280">
      <c r="H280" s="13"/>
      <c r="I280" s="14"/>
    </row>
    <row r="281">
      <c r="H281" s="13"/>
      <c r="I281" s="14"/>
    </row>
    <row r="282">
      <c r="H282" s="13"/>
      <c r="I282" s="14"/>
    </row>
    <row r="283">
      <c r="H283" s="13"/>
      <c r="I283" s="14"/>
    </row>
    <row r="284">
      <c r="H284" s="13"/>
      <c r="I284" s="14"/>
    </row>
    <row r="285">
      <c r="H285" s="13"/>
      <c r="I285" s="14"/>
    </row>
    <row r="286">
      <c r="H286" s="13"/>
      <c r="I286" s="14"/>
    </row>
    <row r="287">
      <c r="H287" s="13"/>
      <c r="I287" s="14"/>
    </row>
    <row r="288">
      <c r="H288" s="13"/>
      <c r="I288" s="14"/>
    </row>
    <row r="289">
      <c r="H289" s="13"/>
      <c r="I289" s="14"/>
    </row>
    <row r="290">
      <c r="H290" s="13"/>
      <c r="I290" s="14"/>
    </row>
    <row r="291">
      <c r="H291" s="13"/>
      <c r="I291" s="14"/>
    </row>
    <row r="292">
      <c r="H292" s="13"/>
      <c r="I292" s="14"/>
    </row>
    <row r="293">
      <c r="H293" s="13"/>
      <c r="I293" s="14"/>
    </row>
    <row r="294">
      <c r="H294" s="13"/>
      <c r="I294" s="14"/>
    </row>
    <row r="295">
      <c r="H295" s="13"/>
      <c r="I295" s="14"/>
    </row>
    <row r="296">
      <c r="H296" s="13"/>
      <c r="I296" s="14"/>
    </row>
    <row r="297">
      <c r="H297" s="13"/>
      <c r="I297" s="14"/>
    </row>
    <row r="298">
      <c r="H298" s="13"/>
      <c r="I298" s="14"/>
    </row>
    <row r="299">
      <c r="H299" s="13"/>
      <c r="I299" s="14"/>
    </row>
    <row r="300">
      <c r="H300" s="13"/>
      <c r="I300" s="14"/>
    </row>
    <row r="301">
      <c r="H301" s="13"/>
      <c r="I301" s="14"/>
    </row>
    <row r="302">
      <c r="H302" s="13"/>
      <c r="I302" s="14"/>
    </row>
    <row r="303">
      <c r="H303" s="13"/>
      <c r="I303" s="14"/>
    </row>
    <row r="304">
      <c r="H304" s="13"/>
      <c r="I304" s="14"/>
    </row>
    <row r="305">
      <c r="H305" s="13"/>
      <c r="I305" s="14"/>
    </row>
    <row r="306">
      <c r="H306" s="13"/>
      <c r="I306" s="14"/>
    </row>
    <row r="307">
      <c r="H307" s="13"/>
      <c r="I307" s="14"/>
    </row>
    <row r="308">
      <c r="H308" s="13"/>
      <c r="I308" s="14"/>
    </row>
    <row r="309">
      <c r="H309" s="13"/>
      <c r="I309" s="14"/>
    </row>
    <row r="310">
      <c r="H310" s="13"/>
      <c r="I310" s="14"/>
    </row>
    <row r="311">
      <c r="H311" s="13"/>
      <c r="I311" s="14"/>
    </row>
    <row r="312">
      <c r="H312" s="13"/>
      <c r="I312" s="14"/>
    </row>
    <row r="313">
      <c r="H313" s="13"/>
      <c r="I313" s="14"/>
    </row>
    <row r="314">
      <c r="H314" s="13"/>
      <c r="I314" s="14"/>
    </row>
    <row r="315">
      <c r="H315" s="13"/>
      <c r="I315" s="14"/>
    </row>
    <row r="316">
      <c r="H316" s="13"/>
      <c r="I316" s="14"/>
    </row>
    <row r="317">
      <c r="H317" s="13"/>
      <c r="I317" s="14"/>
    </row>
    <row r="318">
      <c r="H318" s="13"/>
      <c r="I318" s="14"/>
    </row>
    <row r="319">
      <c r="H319" s="13"/>
      <c r="I319" s="14"/>
    </row>
    <row r="320">
      <c r="H320" s="13"/>
      <c r="I320" s="14"/>
    </row>
    <row r="321">
      <c r="H321" s="13"/>
      <c r="I321" s="14"/>
    </row>
    <row r="322">
      <c r="H322" s="13"/>
      <c r="I322" s="14"/>
    </row>
    <row r="323">
      <c r="H323" s="13"/>
      <c r="I323" s="14"/>
    </row>
    <row r="324">
      <c r="H324" s="13"/>
      <c r="I324" s="14"/>
    </row>
    <row r="325">
      <c r="H325" s="13"/>
      <c r="I325" s="14"/>
    </row>
    <row r="326">
      <c r="H326" s="13"/>
      <c r="I326" s="14"/>
    </row>
    <row r="327">
      <c r="H327" s="13"/>
      <c r="I327" s="14"/>
    </row>
    <row r="328">
      <c r="H328" s="13"/>
      <c r="I328" s="14"/>
    </row>
    <row r="329">
      <c r="H329" s="13"/>
      <c r="I329" s="14"/>
    </row>
    <row r="330">
      <c r="H330" s="13"/>
      <c r="I330" s="14"/>
    </row>
    <row r="331">
      <c r="H331" s="13"/>
      <c r="I331" s="14"/>
    </row>
    <row r="332">
      <c r="H332" s="13"/>
      <c r="I332" s="14"/>
    </row>
    <row r="333">
      <c r="H333" s="13"/>
      <c r="I333" s="14"/>
    </row>
    <row r="334">
      <c r="H334" s="13"/>
      <c r="I334" s="14"/>
    </row>
    <row r="335">
      <c r="H335" s="13"/>
      <c r="I335" s="14"/>
    </row>
    <row r="336">
      <c r="H336" s="13"/>
      <c r="I336" s="14"/>
    </row>
    <row r="337">
      <c r="H337" s="13"/>
      <c r="I337" s="14"/>
    </row>
    <row r="338">
      <c r="H338" s="13"/>
      <c r="I338" s="14"/>
    </row>
    <row r="339">
      <c r="H339" s="13"/>
      <c r="I339" s="14"/>
    </row>
    <row r="340">
      <c r="H340" s="13"/>
      <c r="I340" s="14"/>
    </row>
    <row r="341">
      <c r="H341" s="13"/>
      <c r="I341" s="14"/>
    </row>
    <row r="342">
      <c r="H342" s="13"/>
      <c r="I342" s="14"/>
    </row>
    <row r="343">
      <c r="H343" s="13"/>
      <c r="I343" s="14"/>
    </row>
    <row r="344">
      <c r="H344" s="13"/>
      <c r="I344" s="14"/>
    </row>
    <row r="345">
      <c r="H345" s="13"/>
      <c r="I345" s="14"/>
    </row>
    <row r="346">
      <c r="H346" s="13"/>
      <c r="I346" s="14"/>
    </row>
    <row r="347">
      <c r="H347" s="13"/>
      <c r="I347" s="14"/>
    </row>
    <row r="348">
      <c r="H348" s="13"/>
      <c r="I348" s="14"/>
    </row>
    <row r="349">
      <c r="H349" s="13"/>
      <c r="I349" s="14"/>
    </row>
    <row r="350">
      <c r="H350" s="13"/>
      <c r="I350" s="14"/>
    </row>
    <row r="351">
      <c r="H351" s="13"/>
      <c r="I351" s="14"/>
    </row>
    <row r="352">
      <c r="H352" s="13"/>
      <c r="I352" s="14"/>
    </row>
    <row r="353">
      <c r="H353" s="13"/>
      <c r="I353" s="14"/>
    </row>
    <row r="354">
      <c r="H354" s="13"/>
      <c r="I354" s="14"/>
    </row>
    <row r="355">
      <c r="H355" s="13"/>
      <c r="I355" s="14"/>
    </row>
    <row r="356">
      <c r="H356" s="13"/>
      <c r="I356" s="14"/>
    </row>
    <row r="357">
      <c r="H357" s="13"/>
      <c r="I357" s="14"/>
    </row>
    <row r="358">
      <c r="H358" s="13"/>
      <c r="I358" s="14"/>
    </row>
    <row r="359">
      <c r="H359" s="13"/>
      <c r="I359" s="14"/>
    </row>
    <row r="360">
      <c r="H360" s="13"/>
      <c r="I360" s="14"/>
    </row>
    <row r="361">
      <c r="H361" s="13"/>
      <c r="I361" s="14"/>
    </row>
    <row r="362">
      <c r="H362" s="13"/>
      <c r="I362" s="14"/>
    </row>
    <row r="363">
      <c r="H363" s="13"/>
      <c r="I363" s="14"/>
    </row>
    <row r="364">
      <c r="H364" s="13"/>
      <c r="I364" s="14"/>
    </row>
    <row r="365">
      <c r="H365" s="13"/>
      <c r="I365" s="14"/>
    </row>
    <row r="366">
      <c r="H366" s="13"/>
      <c r="I366" s="14"/>
    </row>
    <row r="367">
      <c r="H367" s="13"/>
      <c r="I367" s="14"/>
    </row>
    <row r="368">
      <c r="H368" s="13"/>
      <c r="I368" s="14"/>
    </row>
    <row r="369">
      <c r="H369" s="13"/>
      <c r="I369" s="14"/>
    </row>
    <row r="370">
      <c r="H370" s="13"/>
      <c r="I370" s="14"/>
    </row>
    <row r="371">
      <c r="H371" s="13"/>
      <c r="I371" s="14"/>
    </row>
    <row r="372">
      <c r="H372" s="13"/>
      <c r="I372" s="14"/>
    </row>
    <row r="373">
      <c r="H373" s="13"/>
      <c r="I373" s="14"/>
    </row>
    <row r="374">
      <c r="H374" s="13"/>
      <c r="I374" s="14"/>
    </row>
    <row r="375">
      <c r="H375" s="13"/>
      <c r="I375" s="14"/>
    </row>
    <row r="376">
      <c r="H376" s="13"/>
      <c r="I376" s="14"/>
    </row>
    <row r="377">
      <c r="H377" s="13"/>
      <c r="I377" s="14"/>
    </row>
    <row r="378">
      <c r="H378" s="13"/>
      <c r="I378" s="14"/>
    </row>
    <row r="379">
      <c r="H379" s="13"/>
      <c r="I379" s="14"/>
    </row>
    <row r="380">
      <c r="H380" s="13"/>
      <c r="I380" s="14"/>
    </row>
    <row r="381">
      <c r="H381" s="13"/>
      <c r="I381" s="14"/>
    </row>
    <row r="382">
      <c r="H382" s="13"/>
      <c r="I382" s="14"/>
    </row>
    <row r="383">
      <c r="H383" s="13"/>
      <c r="I383" s="14"/>
    </row>
    <row r="384">
      <c r="H384" s="13"/>
      <c r="I384" s="14"/>
    </row>
    <row r="385">
      <c r="H385" s="13"/>
      <c r="I385" s="14"/>
    </row>
    <row r="386">
      <c r="H386" s="13"/>
      <c r="I386" s="14"/>
    </row>
    <row r="387">
      <c r="H387" s="13"/>
      <c r="I387" s="14"/>
    </row>
    <row r="388">
      <c r="H388" s="13"/>
      <c r="I388" s="14"/>
    </row>
    <row r="389">
      <c r="H389" s="13"/>
      <c r="I389" s="14"/>
    </row>
    <row r="390">
      <c r="H390" s="13"/>
      <c r="I390" s="14"/>
    </row>
    <row r="391">
      <c r="H391" s="13"/>
      <c r="I391" s="14"/>
    </row>
    <row r="392">
      <c r="H392" s="13"/>
      <c r="I392" s="14"/>
    </row>
    <row r="393">
      <c r="H393" s="13"/>
      <c r="I393" s="14"/>
    </row>
    <row r="394">
      <c r="H394" s="13"/>
      <c r="I394" s="14"/>
    </row>
    <row r="395">
      <c r="H395" s="13"/>
      <c r="I395" s="14"/>
    </row>
    <row r="396">
      <c r="H396" s="13"/>
      <c r="I396" s="14"/>
    </row>
    <row r="397">
      <c r="H397" s="13"/>
      <c r="I397" s="14"/>
    </row>
    <row r="398">
      <c r="H398" s="13"/>
      <c r="I398" s="14"/>
    </row>
    <row r="399">
      <c r="H399" s="13"/>
      <c r="I399" s="14"/>
    </row>
    <row r="400">
      <c r="H400" s="13"/>
      <c r="I400" s="14"/>
    </row>
    <row r="401">
      <c r="H401" s="13"/>
      <c r="I401" s="14"/>
    </row>
    <row r="402">
      <c r="H402" s="13"/>
      <c r="I402" s="14"/>
    </row>
    <row r="403">
      <c r="H403" s="13"/>
      <c r="I403" s="14"/>
    </row>
    <row r="404">
      <c r="H404" s="13"/>
      <c r="I404" s="14"/>
    </row>
    <row r="405">
      <c r="H405" s="13"/>
      <c r="I405" s="14"/>
    </row>
    <row r="406">
      <c r="H406" s="13"/>
      <c r="I406" s="14"/>
    </row>
    <row r="407">
      <c r="H407" s="13"/>
      <c r="I407" s="14"/>
    </row>
    <row r="408">
      <c r="H408" s="13"/>
      <c r="I408" s="14"/>
    </row>
    <row r="409">
      <c r="H409" s="13"/>
      <c r="I409" s="14"/>
    </row>
    <row r="410">
      <c r="H410" s="13"/>
      <c r="I410" s="14"/>
    </row>
    <row r="411">
      <c r="H411" s="13"/>
      <c r="I411" s="14"/>
    </row>
    <row r="412">
      <c r="H412" s="13"/>
      <c r="I412" s="14"/>
    </row>
    <row r="413">
      <c r="H413" s="13"/>
      <c r="I413" s="14"/>
    </row>
    <row r="414">
      <c r="H414" s="13"/>
      <c r="I414" s="14"/>
    </row>
    <row r="415">
      <c r="H415" s="13"/>
      <c r="I415" s="14"/>
    </row>
    <row r="416">
      <c r="H416" s="13"/>
      <c r="I416" s="14"/>
    </row>
    <row r="417">
      <c r="H417" s="13"/>
      <c r="I417" s="14"/>
    </row>
    <row r="418">
      <c r="H418" s="13"/>
      <c r="I418" s="14"/>
    </row>
    <row r="419">
      <c r="H419" s="13"/>
      <c r="I419" s="14"/>
    </row>
    <row r="420">
      <c r="H420" s="13"/>
      <c r="I420" s="14"/>
    </row>
    <row r="421">
      <c r="H421" s="13"/>
      <c r="I421" s="14"/>
    </row>
    <row r="422">
      <c r="H422" s="13"/>
      <c r="I422" s="14"/>
    </row>
    <row r="423">
      <c r="H423" s="13"/>
      <c r="I423" s="14"/>
    </row>
    <row r="424">
      <c r="H424" s="13"/>
      <c r="I424" s="14"/>
    </row>
    <row r="425">
      <c r="H425" s="13"/>
      <c r="I425" s="14"/>
    </row>
    <row r="426">
      <c r="H426" s="13"/>
      <c r="I426" s="14"/>
    </row>
    <row r="427">
      <c r="H427" s="13"/>
      <c r="I427" s="14"/>
    </row>
    <row r="428">
      <c r="H428" s="13"/>
      <c r="I428" s="14"/>
    </row>
    <row r="429">
      <c r="H429" s="13"/>
      <c r="I429" s="14"/>
    </row>
    <row r="430">
      <c r="H430" s="13"/>
      <c r="I430" s="14"/>
    </row>
    <row r="431">
      <c r="H431" s="13"/>
      <c r="I431" s="14"/>
    </row>
    <row r="432">
      <c r="H432" s="13"/>
      <c r="I432" s="14"/>
    </row>
    <row r="433">
      <c r="H433" s="13"/>
      <c r="I433" s="14"/>
    </row>
    <row r="434">
      <c r="H434" s="13"/>
      <c r="I434" s="14"/>
    </row>
    <row r="435">
      <c r="H435" s="13"/>
      <c r="I435" s="14"/>
    </row>
    <row r="436">
      <c r="H436" s="13"/>
      <c r="I436" s="14"/>
    </row>
    <row r="437">
      <c r="H437" s="13"/>
      <c r="I437" s="14"/>
    </row>
    <row r="438">
      <c r="H438" s="13"/>
      <c r="I438" s="14"/>
    </row>
    <row r="439">
      <c r="H439" s="13"/>
      <c r="I439" s="14"/>
    </row>
    <row r="440">
      <c r="H440" s="13"/>
      <c r="I440" s="14"/>
    </row>
    <row r="441">
      <c r="H441" s="13"/>
      <c r="I441" s="14"/>
    </row>
    <row r="442">
      <c r="H442" s="13"/>
      <c r="I442" s="14"/>
    </row>
    <row r="443">
      <c r="H443" s="13"/>
      <c r="I443" s="14"/>
    </row>
    <row r="444">
      <c r="H444" s="13"/>
      <c r="I444" s="14"/>
    </row>
    <row r="445">
      <c r="H445" s="13"/>
      <c r="I445" s="14"/>
    </row>
    <row r="446">
      <c r="H446" s="13"/>
      <c r="I446" s="14"/>
    </row>
    <row r="447">
      <c r="H447" s="13"/>
      <c r="I447" s="14"/>
    </row>
    <row r="448">
      <c r="H448" s="13"/>
      <c r="I448" s="14"/>
    </row>
    <row r="449">
      <c r="H449" s="13"/>
      <c r="I449" s="14"/>
    </row>
    <row r="450">
      <c r="H450" s="13"/>
      <c r="I450" s="14"/>
    </row>
    <row r="451">
      <c r="H451" s="13"/>
      <c r="I451" s="14"/>
    </row>
    <row r="452">
      <c r="H452" s="13"/>
      <c r="I452" s="14"/>
    </row>
    <row r="453">
      <c r="H453" s="13"/>
      <c r="I453" s="14"/>
    </row>
    <row r="454">
      <c r="H454" s="13"/>
      <c r="I454" s="14"/>
    </row>
    <row r="455">
      <c r="H455" s="13"/>
      <c r="I455" s="14"/>
    </row>
    <row r="456">
      <c r="H456" s="13"/>
      <c r="I456" s="14"/>
    </row>
    <row r="457">
      <c r="H457" s="13"/>
      <c r="I457" s="14"/>
    </row>
    <row r="458">
      <c r="H458" s="13"/>
      <c r="I458" s="14"/>
    </row>
    <row r="459">
      <c r="H459" s="13"/>
      <c r="I459" s="14"/>
    </row>
    <row r="460">
      <c r="H460" s="13"/>
      <c r="I460" s="14"/>
    </row>
    <row r="461">
      <c r="H461" s="13"/>
      <c r="I461" s="14"/>
    </row>
    <row r="462">
      <c r="H462" s="13"/>
      <c r="I462" s="14"/>
    </row>
    <row r="463">
      <c r="H463" s="13"/>
      <c r="I463" s="14"/>
    </row>
    <row r="464">
      <c r="H464" s="13"/>
      <c r="I464" s="14"/>
    </row>
    <row r="465">
      <c r="H465" s="13"/>
      <c r="I465" s="14"/>
    </row>
    <row r="466">
      <c r="H466" s="13"/>
      <c r="I466" s="14"/>
    </row>
    <row r="467">
      <c r="H467" s="13"/>
      <c r="I467" s="14"/>
    </row>
    <row r="468">
      <c r="H468" s="13"/>
      <c r="I468" s="14"/>
    </row>
    <row r="469">
      <c r="H469" s="13"/>
      <c r="I469" s="14"/>
    </row>
    <row r="470">
      <c r="H470" s="13"/>
      <c r="I470" s="14"/>
    </row>
    <row r="471">
      <c r="H471" s="13"/>
      <c r="I471" s="14"/>
    </row>
    <row r="472">
      <c r="H472" s="13"/>
      <c r="I472" s="14"/>
    </row>
    <row r="473">
      <c r="H473" s="13"/>
      <c r="I473" s="14"/>
    </row>
    <row r="474">
      <c r="H474" s="13"/>
      <c r="I474" s="14"/>
    </row>
    <row r="475">
      <c r="H475" s="13"/>
      <c r="I475" s="14"/>
    </row>
    <row r="476">
      <c r="H476" s="13"/>
      <c r="I476" s="14"/>
    </row>
    <row r="477">
      <c r="H477" s="13"/>
      <c r="I477" s="14"/>
    </row>
    <row r="478">
      <c r="H478" s="13"/>
      <c r="I478" s="14"/>
    </row>
    <row r="479">
      <c r="H479" s="13"/>
      <c r="I479" s="14"/>
    </row>
    <row r="480">
      <c r="H480" s="13"/>
      <c r="I480" s="14"/>
    </row>
    <row r="481">
      <c r="H481" s="13"/>
      <c r="I481" s="14"/>
    </row>
    <row r="482">
      <c r="H482" s="13"/>
      <c r="I482" s="14"/>
    </row>
    <row r="483">
      <c r="H483" s="13"/>
      <c r="I483" s="14"/>
    </row>
    <row r="484">
      <c r="H484" s="13"/>
      <c r="I484" s="14"/>
    </row>
    <row r="485">
      <c r="H485" s="13"/>
      <c r="I485" s="14"/>
    </row>
    <row r="486">
      <c r="H486" s="13"/>
      <c r="I486" s="14"/>
    </row>
    <row r="487">
      <c r="H487" s="13"/>
      <c r="I487" s="14"/>
    </row>
    <row r="488">
      <c r="H488" s="13"/>
      <c r="I488" s="14"/>
    </row>
    <row r="489">
      <c r="H489" s="13"/>
      <c r="I489" s="14"/>
    </row>
    <row r="490">
      <c r="H490" s="13"/>
      <c r="I490" s="14"/>
    </row>
    <row r="491">
      <c r="H491" s="13"/>
      <c r="I491" s="14"/>
    </row>
    <row r="492">
      <c r="H492" s="13"/>
      <c r="I492" s="14"/>
    </row>
    <row r="493">
      <c r="H493" s="13"/>
      <c r="I493" s="14"/>
    </row>
    <row r="494">
      <c r="H494" s="13"/>
      <c r="I494" s="14"/>
    </row>
    <row r="495">
      <c r="H495" s="13"/>
      <c r="I495" s="14"/>
    </row>
    <row r="496">
      <c r="H496" s="13"/>
      <c r="I496" s="14"/>
    </row>
    <row r="497">
      <c r="H497" s="13"/>
      <c r="I497" s="14"/>
    </row>
    <row r="498">
      <c r="H498" s="13"/>
      <c r="I498" s="14"/>
    </row>
    <row r="499">
      <c r="H499" s="13"/>
      <c r="I499" s="14"/>
    </row>
    <row r="500">
      <c r="H500" s="13"/>
      <c r="I500" s="14"/>
    </row>
    <row r="501">
      <c r="H501" s="13"/>
      <c r="I501" s="14"/>
    </row>
    <row r="502">
      <c r="H502" s="13"/>
      <c r="I502" s="14"/>
    </row>
    <row r="503">
      <c r="H503" s="13"/>
      <c r="I503" s="14"/>
    </row>
    <row r="504">
      <c r="H504" s="13"/>
      <c r="I504" s="14"/>
    </row>
    <row r="505">
      <c r="H505" s="13"/>
      <c r="I505" s="14"/>
    </row>
    <row r="506">
      <c r="H506" s="13"/>
      <c r="I506" s="14"/>
    </row>
    <row r="507">
      <c r="H507" s="13"/>
      <c r="I507" s="14"/>
    </row>
    <row r="508">
      <c r="H508" s="13"/>
      <c r="I508" s="14"/>
    </row>
    <row r="509">
      <c r="H509" s="13"/>
      <c r="I509" s="14"/>
    </row>
    <row r="510">
      <c r="H510" s="13"/>
      <c r="I510" s="14"/>
    </row>
    <row r="511">
      <c r="H511" s="13"/>
      <c r="I511" s="14"/>
    </row>
    <row r="512">
      <c r="H512" s="13"/>
      <c r="I512" s="14"/>
    </row>
    <row r="513">
      <c r="H513" s="13"/>
      <c r="I513" s="14"/>
    </row>
    <row r="514">
      <c r="H514" s="13"/>
      <c r="I514" s="14"/>
    </row>
    <row r="515">
      <c r="H515" s="13"/>
      <c r="I515" s="14"/>
    </row>
    <row r="516">
      <c r="H516" s="13"/>
      <c r="I516" s="14"/>
    </row>
    <row r="517">
      <c r="H517" s="13"/>
      <c r="I517" s="14"/>
    </row>
    <row r="518">
      <c r="H518" s="13"/>
      <c r="I518" s="14"/>
    </row>
    <row r="519">
      <c r="H519" s="13"/>
      <c r="I519" s="14"/>
    </row>
    <row r="520">
      <c r="H520" s="13"/>
      <c r="I520" s="14"/>
    </row>
    <row r="521">
      <c r="H521" s="13"/>
      <c r="I521" s="14"/>
    </row>
    <row r="522">
      <c r="H522" s="13"/>
      <c r="I522" s="14"/>
    </row>
    <row r="523">
      <c r="H523" s="13"/>
      <c r="I523" s="14"/>
    </row>
    <row r="524">
      <c r="H524" s="13"/>
      <c r="I524" s="14"/>
    </row>
    <row r="525">
      <c r="H525" s="13"/>
      <c r="I525" s="14"/>
    </row>
    <row r="526">
      <c r="H526" s="13"/>
      <c r="I526" s="14"/>
    </row>
    <row r="527">
      <c r="H527" s="13"/>
      <c r="I527" s="14"/>
    </row>
    <row r="528">
      <c r="H528" s="13"/>
      <c r="I528" s="14"/>
    </row>
    <row r="529">
      <c r="H529" s="13"/>
      <c r="I529" s="14"/>
    </row>
    <row r="530">
      <c r="H530" s="13"/>
      <c r="I530" s="14"/>
    </row>
    <row r="531">
      <c r="H531" s="13"/>
      <c r="I531" s="14"/>
    </row>
    <row r="532">
      <c r="H532" s="13"/>
      <c r="I532" s="14"/>
    </row>
    <row r="533">
      <c r="H533" s="13"/>
      <c r="I533" s="14"/>
    </row>
    <row r="534">
      <c r="H534" s="13"/>
      <c r="I534" s="14"/>
    </row>
    <row r="535">
      <c r="H535" s="13"/>
      <c r="I535" s="14"/>
    </row>
    <row r="536">
      <c r="H536" s="13"/>
      <c r="I536" s="14"/>
    </row>
    <row r="537">
      <c r="H537" s="13"/>
      <c r="I537" s="14"/>
    </row>
    <row r="538">
      <c r="H538" s="13"/>
      <c r="I538" s="14"/>
    </row>
    <row r="539">
      <c r="H539" s="13"/>
      <c r="I539" s="14"/>
    </row>
    <row r="540">
      <c r="H540" s="13"/>
      <c r="I540" s="14"/>
    </row>
    <row r="541">
      <c r="H541" s="13"/>
      <c r="I541" s="14"/>
    </row>
    <row r="542">
      <c r="H542" s="13"/>
      <c r="I542" s="14"/>
    </row>
    <row r="543">
      <c r="H543" s="13"/>
      <c r="I543" s="14"/>
    </row>
    <row r="544">
      <c r="H544" s="13"/>
      <c r="I544" s="14"/>
    </row>
    <row r="545">
      <c r="H545" s="13"/>
      <c r="I545" s="14"/>
    </row>
    <row r="546">
      <c r="H546" s="13"/>
      <c r="I546" s="14"/>
    </row>
    <row r="547">
      <c r="H547" s="13"/>
      <c r="I547" s="14"/>
    </row>
    <row r="548">
      <c r="H548" s="13"/>
      <c r="I548" s="14"/>
    </row>
    <row r="549">
      <c r="H549" s="13"/>
      <c r="I549" s="14"/>
    </row>
    <row r="550">
      <c r="H550" s="13"/>
      <c r="I550" s="14"/>
    </row>
    <row r="551">
      <c r="H551" s="13"/>
      <c r="I551" s="14"/>
    </row>
    <row r="552">
      <c r="H552" s="13"/>
      <c r="I552" s="14"/>
    </row>
    <row r="553">
      <c r="H553" s="13"/>
      <c r="I553" s="14"/>
    </row>
    <row r="554">
      <c r="H554" s="13"/>
      <c r="I554" s="14"/>
    </row>
    <row r="555">
      <c r="H555" s="13"/>
      <c r="I555" s="14"/>
    </row>
    <row r="556">
      <c r="H556" s="13"/>
      <c r="I556" s="14"/>
    </row>
    <row r="557">
      <c r="H557" s="13"/>
      <c r="I557" s="14"/>
    </row>
    <row r="558">
      <c r="H558" s="13"/>
      <c r="I558" s="14"/>
    </row>
    <row r="559">
      <c r="H559" s="13"/>
      <c r="I559" s="14"/>
    </row>
    <row r="560">
      <c r="H560" s="13"/>
      <c r="I560" s="14"/>
    </row>
    <row r="561">
      <c r="H561" s="13"/>
      <c r="I561" s="14"/>
    </row>
    <row r="562">
      <c r="H562" s="13"/>
      <c r="I562" s="14"/>
    </row>
    <row r="563">
      <c r="H563" s="13"/>
      <c r="I563" s="14"/>
    </row>
    <row r="564">
      <c r="H564" s="13"/>
      <c r="I564" s="14"/>
    </row>
    <row r="565">
      <c r="H565" s="13"/>
      <c r="I565" s="14"/>
    </row>
    <row r="566">
      <c r="H566" s="13"/>
      <c r="I566" s="14"/>
    </row>
    <row r="567">
      <c r="H567" s="13"/>
      <c r="I567" s="14"/>
    </row>
    <row r="568">
      <c r="H568" s="13"/>
      <c r="I568" s="14"/>
    </row>
    <row r="569">
      <c r="H569" s="13"/>
      <c r="I569" s="14"/>
    </row>
    <row r="570">
      <c r="H570" s="13"/>
      <c r="I570" s="14"/>
    </row>
    <row r="571">
      <c r="H571" s="13"/>
      <c r="I571" s="14"/>
    </row>
    <row r="572">
      <c r="H572" s="13"/>
      <c r="I572" s="14"/>
    </row>
    <row r="573">
      <c r="H573" s="13"/>
      <c r="I573" s="14"/>
    </row>
    <row r="574">
      <c r="H574" s="13"/>
      <c r="I574" s="14"/>
    </row>
    <row r="575">
      <c r="H575" s="13"/>
      <c r="I575" s="14"/>
    </row>
    <row r="576">
      <c r="H576" s="13"/>
      <c r="I576" s="14"/>
    </row>
    <row r="577">
      <c r="H577" s="13"/>
      <c r="I577" s="14"/>
    </row>
    <row r="578">
      <c r="H578" s="13"/>
      <c r="I578" s="14"/>
    </row>
    <row r="579">
      <c r="H579" s="13"/>
      <c r="I579" s="14"/>
    </row>
    <row r="580">
      <c r="H580" s="13"/>
      <c r="I580" s="14"/>
    </row>
    <row r="581">
      <c r="H581" s="13"/>
      <c r="I581" s="14"/>
    </row>
    <row r="582">
      <c r="H582" s="13"/>
      <c r="I582" s="14"/>
    </row>
    <row r="583">
      <c r="H583" s="13"/>
      <c r="I583" s="14"/>
    </row>
    <row r="584">
      <c r="H584" s="13"/>
      <c r="I584" s="14"/>
    </row>
    <row r="585">
      <c r="H585" s="13"/>
      <c r="I585" s="14"/>
    </row>
    <row r="586">
      <c r="H586" s="13"/>
      <c r="I586" s="14"/>
    </row>
    <row r="587">
      <c r="H587" s="13"/>
      <c r="I587" s="14"/>
    </row>
    <row r="588">
      <c r="H588" s="13"/>
      <c r="I588" s="14"/>
    </row>
    <row r="589">
      <c r="H589" s="13"/>
      <c r="I589" s="14"/>
    </row>
    <row r="590">
      <c r="H590" s="13"/>
      <c r="I590" s="14"/>
    </row>
    <row r="591">
      <c r="H591" s="13"/>
      <c r="I591" s="14"/>
    </row>
    <row r="592">
      <c r="H592" s="13"/>
      <c r="I592" s="14"/>
    </row>
    <row r="593">
      <c r="H593" s="13"/>
      <c r="I593" s="14"/>
    </row>
    <row r="594">
      <c r="H594" s="13"/>
      <c r="I594" s="14"/>
    </row>
    <row r="595">
      <c r="H595" s="13"/>
      <c r="I595" s="14"/>
    </row>
    <row r="596">
      <c r="H596" s="13"/>
      <c r="I596" s="14"/>
    </row>
    <row r="597">
      <c r="H597" s="13"/>
      <c r="I597" s="14"/>
    </row>
    <row r="598">
      <c r="H598" s="13"/>
      <c r="I598" s="14"/>
    </row>
    <row r="599">
      <c r="H599" s="13"/>
      <c r="I599" s="14"/>
    </row>
    <row r="600">
      <c r="H600" s="13"/>
      <c r="I600" s="14"/>
    </row>
    <row r="601">
      <c r="H601" s="13"/>
      <c r="I601" s="14"/>
    </row>
    <row r="602">
      <c r="H602" s="13"/>
      <c r="I602" s="14"/>
    </row>
    <row r="603">
      <c r="H603" s="13"/>
      <c r="I603" s="14"/>
    </row>
    <row r="604">
      <c r="H604" s="13"/>
      <c r="I604" s="14"/>
    </row>
    <row r="605">
      <c r="H605" s="13"/>
      <c r="I605" s="14"/>
    </row>
    <row r="606">
      <c r="H606" s="13"/>
      <c r="I606" s="14"/>
    </row>
    <row r="607">
      <c r="H607" s="13"/>
      <c r="I607" s="14"/>
    </row>
    <row r="608">
      <c r="H608" s="13"/>
      <c r="I608" s="14"/>
    </row>
    <row r="609">
      <c r="H609" s="13"/>
      <c r="I609" s="14"/>
    </row>
    <row r="610">
      <c r="H610" s="13"/>
      <c r="I610" s="14"/>
    </row>
    <row r="611">
      <c r="H611" s="13"/>
      <c r="I611" s="14"/>
    </row>
    <row r="612">
      <c r="H612" s="13"/>
      <c r="I612" s="14"/>
    </row>
    <row r="613">
      <c r="H613" s="13"/>
      <c r="I613" s="14"/>
    </row>
    <row r="614">
      <c r="H614" s="13"/>
      <c r="I614" s="14"/>
    </row>
    <row r="615">
      <c r="H615" s="13"/>
      <c r="I615" s="14"/>
    </row>
    <row r="616">
      <c r="H616" s="13"/>
      <c r="I616" s="14"/>
    </row>
    <row r="617">
      <c r="H617" s="13"/>
      <c r="I617" s="14"/>
    </row>
    <row r="618">
      <c r="H618" s="13"/>
      <c r="I618" s="14"/>
    </row>
    <row r="619">
      <c r="H619" s="13"/>
      <c r="I619" s="14"/>
    </row>
    <row r="620">
      <c r="H620" s="13"/>
      <c r="I620" s="14"/>
    </row>
    <row r="621">
      <c r="H621" s="13"/>
      <c r="I621" s="14"/>
    </row>
    <row r="622">
      <c r="H622" s="13"/>
      <c r="I622" s="14"/>
    </row>
    <row r="623">
      <c r="H623" s="13"/>
      <c r="I623" s="14"/>
    </row>
    <row r="624">
      <c r="H624" s="13"/>
      <c r="I624" s="14"/>
    </row>
    <row r="625">
      <c r="H625" s="13"/>
      <c r="I625" s="14"/>
    </row>
    <row r="626">
      <c r="H626" s="13"/>
      <c r="I626" s="14"/>
    </row>
    <row r="627">
      <c r="H627" s="13"/>
      <c r="I627" s="14"/>
    </row>
    <row r="628">
      <c r="H628" s="13"/>
      <c r="I628" s="14"/>
    </row>
    <row r="629">
      <c r="H629" s="13"/>
      <c r="I629" s="14"/>
    </row>
    <row r="630">
      <c r="H630" s="13"/>
      <c r="I630" s="14"/>
    </row>
    <row r="631">
      <c r="H631" s="13"/>
      <c r="I631" s="14"/>
    </row>
    <row r="632">
      <c r="H632" s="13"/>
      <c r="I632" s="14"/>
    </row>
    <row r="633">
      <c r="H633" s="13"/>
      <c r="I633" s="14"/>
    </row>
    <row r="634">
      <c r="H634" s="13"/>
      <c r="I634" s="14"/>
    </row>
    <row r="635">
      <c r="H635" s="13"/>
      <c r="I635" s="14"/>
    </row>
    <row r="636">
      <c r="H636" s="13"/>
      <c r="I636" s="14"/>
    </row>
    <row r="637">
      <c r="H637" s="13"/>
      <c r="I637" s="14"/>
    </row>
    <row r="638">
      <c r="H638" s="13"/>
      <c r="I638" s="14"/>
    </row>
    <row r="639">
      <c r="H639" s="13"/>
      <c r="I639" s="14"/>
    </row>
    <row r="640">
      <c r="H640" s="13"/>
      <c r="I640" s="14"/>
    </row>
    <row r="641">
      <c r="H641" s="13"/>
      <c r="I641" s="14"/>
    </row>
    <row r="642">
      <c r="H642" s="13"/>
      <c r="I642" s="14"/>
    </row>
    <row r="643">
      <c r="H643" s="13"/>
      <c r="I643" s="14"/>
    </row>
    <row r="644">
      <c r="H644" s="13"/>
      <c r="I644" s="14"/>
    </row>
    <row r="645">
      <c r="H645" s="13"/>
      <c r="I645" s="14"/>
    </row>
    <row r="646">
      <c r="H646" s="13"/>
      <c r="I646" s="14"/>
    </row>
    <row r="647">
      <c r="H647" s="13"/>
      <c r="I647" s="14"/>
    </row>
    <row r="648">
      <c r="H648" s="13"/>
      <c r="I648" s="14"/>
    </row>
    <row r="649">
      <c r="H649" s="13"/>
      <c r="I649" s="14"/>
    </row>
    <row r="650">
      <c r="H650" s="13"/>
      <c r="I650" s="14"/>
    </row>
    <row r="651">
      <c r="H651" s="13"/>
      <c r="I651" s="14"/>
    </row>
    <row r="652">
      <c r="H652" s="13"/>
      <c r="I652" s="14"/>
    </row>
    <row r="653">
      <c r="H653" s="13"/>
      <c r="I653" s="14"/>
    </row>
    <row r="654">
      <c r="H654" s="13"/>
      <c r="I654" s="14"/>
    </row>
    <row r="655">
      <c r="H655" s="13"/>
      <c r="I655" s="14"/>
    </row>
    <row r="656">
      <c r="H656" s="13"/>
      <c r="I656" s="14"/>
    </row>
    <row r="657">
      <c r="H657" s="13"/>
      <c r="I657" s="14"/>
    </row>
    <row r="658">
      <c r="H658" s="13"/>
      <c r="I658" s="14"/>
    </row>
    <row r="659">
      <c r="H659" s="13"/>
      <c r="I659" s="14"/>
    </row>
    <row r="660">
      <c r="H660" s="13"/>
      <c r="I660" s="14"/>
    </row>
    <row r="661">
      <c r="H661" s="13"/>
      <c r="I661" s="14"/>
    </row>
    <row r="662">
      <c r="H662" s="13"/>
      <c r="I662" s="14"/>
    </row>
    <row r="663">
      <c r="H663" s="13"/>
      <c r="I663" s="14"/>
    </row>
    <row r="664">
      <c r="H664" s="13"/>
      <c r="I664" s="14"/>
    </row>
    <row r="665">
      <c r="H665" s="13"/>
      <c r="I665" s="14"/>
    </row>
    <row r="666">
      <c r="H666" s="13"/>
      <c r="I666" s="14"/>
    </row>
    <row r="667">
      <c r="H667" s="13"/>
      <c r="I667" s="14"/>
    </row>
    <row r="668">
      <c r="H668" s="13"/>
      <c r="I668" s="14"/>
    </row>
    <row r="669">
      <c r="H669" s="13"/>
      <c r="I669" s="14"/>
    </row>
    <row r="670">
      <c r="H670" s="13"/>
      <c r="I670" s="14"/>
    </row>
    <row r="671">
      <c r="H671" s="13"/>
      <c r="I671" s="14"/>
    </row>
    <row r="672">
      <c r="H672" s="13"/>
      <c r="I672" s="14"/>
    </row>
    <row r="673">
      <c r="H673" s="13"/>
      <c r="I673" s="14"/>
    </row>
    <row r="674">
      <c r="H674" s="13"/>
      <c r="I674" s="14"/>
    </row>
    <row r="675">
      <c r="H675" s="13"/>
      <c r="I675" s="14"/>
    </row>
    <row r="676">
      <c r="H676" s="13"/>
      <c r="I676" s="14"/>
    </row>
    <row r="677">
      <c r="H677" s="13"/>
      <c r="I677" s="14"/>
    </row>
    <row r="678">
      <c r="H678" s="13"/>
      <c r="I678" s="14"/>
    </row>
    <row r="679">
      <c r="H679" s="13"/>
      <c r="I679" s="14"/>
    </row>
    <row r="680">
      <c r="H680" s="13"/>
      <c r="I680" s="14"/>
    </row>
    <row r="681">
      <c r="H681" s="13"/>
      <c r="I681" s="14"/>
    </row>
    <row r="682">
      <c r="H682" s="13"/>
      <c r="I682" s="14"/>
    </row>
    <row r="683">
      <c r="H683" s="13"/>
      <c r="I683" s="14"/>
    </row>
    <row r="684">
      <c r="H684" s="13"/>
      <c r="I684" s="14"/>
    </row>
    <row r="685">
      <c r="H685" s="13"/>
      <c r="I685" s="14"/>
    </row>
    <row r="686">
      <c r="H686" s="13"/>
      <c r="I686" s="14"/>
    </row>
    <row r="687">
      <c r="H687" s="13"/>
      <c r="I687" s="14"/>
    </row>
    <row r="688">
      <c r="H688" s="13"/>
      <c r="I688" s="14"/>
    </row>
    <row r="689">
      <c r="H689" s="13"/>
      <c r="I689" s="14"/>
    </row>
    <row r="690">
      <c r="H690" s="13"/>
      <c r="I690" s="14"/>
    </row>
    <row r="691">
      <c r="H691" s="13"/>
      <c r="I691" s="14"/>
    </row>
    <row r="692">
      <c r="H692" s="13"/>
      <c r="I692" s="14"/>
    </row>
    <row r="693">
      <c r="H693" s="13"/>
      <c r="I693" s="14"/>
    </row>
    <row r="694">
      <c r="H694" s="13"/>
      <c r="I694" s="14"/>
    </row>
    <row r="695">
      <c r="H695" s="13"/>
      <c r="I695" s="14"/>
    </row>
    <row r="696">
      <c r="H696" s="13"/>
      <c r="I696" s="14"/>
    </row>
    <row r="697">
      <c r="H697" s="13"/>
      <c r="I697" s="14"/>
    </row>
    <row r="698">
      <c r="H698" s="13"/>
      <c r="I698" s="14"/>
    </row>
    <row r="699">
      <c r="H699" s="13"/>
      <c r="I699" s="14"/>
    </row>
    <row r="700">
      <c r="H700" s="13"/>
      <c r="I700" s="14"/>
    </row>
    <row r="701">
      <c r="H701" s="13"/>
      <c r="I701" s="14"/>
    </row>
    <row r="702">
      <c r="H702" s="13"/>
      <c r="I702" s="14"/>
    </row>
    <row r="703">
      <c r="H703" s="13"/>
      <c r="I703" s="14"/>
    </row>
    <row r="704">
      <c r="H704" s="13"/>
      <c r="I704" s="14"/>
    </row>
    <row r="705">
      <c r="H705" s="13"/>
      <c r="I705" s="14"/>
    </row>
    <row r="706">
      <c r="H706" s="13"/>
      <c r="I706" s="14"/>
    </row>
    <row r="707">
      <c r="H707" s="13"/>
      <c r="I707" s="14"/>
    </row>
    <row r="708">
      <c r="H708" s="13"/>
      <c r="I708" s="14"/>
    </row>
    <row r="709">
      <c r="H709" s="13"/>
      <c r="I709" s="14"/>
    </row>
    <row r="710">
      <c r="H710" s="13"/>
      <c r="I710" s="14"/>
    </row>
    <row r="711">
      <c r="H711" s="13"/>
      <c r="I711" s="14"/>
    </row>
    <row r="712">
      <c r="H712" s="13"/>
      <c r="I712" s="14"/>
    </row>
    <row r="713">
      <c r="H713" s="13"/>
      <c r="I713" s="14"/>
    </row>
    <row r="714">
      <c r="H714" s="13"/>
      <c r="I714" s="14"/>
    </row>
    <row r="715">
      <c r="H715" s="13"/>
      <c r="I715" s="14"/>
    </row>
    <row r="716">
      <c r="H716" s="13"/>
      <c r="I716" s="14"/>
    </row>
    <row r="717">
      <c r="H717" s="13"/>
      <c r="I717" s="14"/>
    </row>
    <row r="718">
      <c r="H718" s="13"/>
      <c r="I718" s="14"/>
    </row>
    <row r="719">
      <c r="H719" s="13"/>
      <c r="I719" s="14"/>
    </row>
    <row r="720">
      <c r="H720" s="13"/>
      <c r="I720" s="14"/>
    </row>
    <row r="721">
      <c r="H721" s="13"/>
      <c r="I721" s="14"/>
    </row>
    <row r="722">
      <c r="H722" s="13"/>
      <c r="I722" s="14"/>
    </row>
    <row r="723">
      <c r="H723" s="13"/>
      <c r="I723" s="14"/>
    </row>
    <row r="724">
      <c r="H724" s="13"/>
      <c r="I724" s="14"/>
    </row>
    <row r="725">
      <c r="H725" s="13"/>
      <c r="I725" s="14"/>
    </row>
    <row r="726">
      <c r="H726" s="13"/>
      <c r="I726" s="14"/>
    </row>
    <row r="727">
      <c r="H727" s="13"/>
      <c r="I727" s="14"/>
    </row>
    <row r="728">
      <c r="H728" s="13"/>
      <c r="I728" s="14"/>
    </row>
    <row r="729">
      <c r="H729" s="13"/>
      <c r="I729" s="14"/>
    </row>
    <row r="730">
      <c r="H730" s="13"/>
      <c r="I730" s="14"/>
    </row>
    <row r="731">
      <c r="H731" s="13"/>
      <c r="I731" s="14"/>
    </row>
    <row r="732">
      <c r="H732" s="13"/>
      <c r="I732" s="14"/>
    </row>
    <row r="733">
      <c r="H733" s="13"/>
      <c r="I733" s="14"/>
    </row>
    <row r="734">
      <c r="H734" s="13"/>
      <c r="I734" s="14"/>
    </row>
    <row r="735">
      <c r="H735" s="13"/>
      <c r="I735" s="14"/>
    </row>
    <row r="736">
      <c r="H736" s="13"/>
      <c r="I736" s="14"/>
    </row>
    <row r="737">
      <c r="H737" s="13"/>
      <c r="I737" s="14"/>
    </row>
    <row r="738">
      <c r="H738" s="13"/>
      <c r="I738" s="14"/>
    </row>
    <row r="739">
      <c r="H739" s="13"/>
      <c r="I739" s="14"/>
    </row>
    <row r="740">
      <c r="H740" s="13"/>
      <c r="I740" s="14"/>
    </row>
    <row r="741">
      <c r="H741" s="13"/>
      <c r="I741" s="14"/>
    </row>
    <row r="742">
      <c r="H742" s="13"/>
      <c r="I742" s="14"/>
    </row>
    <row r="743">
      <c r="H743" s="13"/>
      <c r="I743" s="14"/>
    </row>
    <row r="744">
      <c r="H744" s="13"/>
      <c r="I744" s="14"/>
    </row>
    <row r="745">
      <c r="H745" s="13"/>
      <c r="I745" s="14"/>
    </row>
    <row r="746">
      <c r="H746" s="13"/>
      <c r="I746" s="14"/>
    </row>
    <row r="747">
      <c r="H747" s="13"/>
      <c r="I747" s="14"/>
    </row>
    <row r="748">
      <c r="H748" s="13"/>
      <c r="I748" s="14"/>
    </row>
    <row r="749">
      <c r="H749" s="13"/>
      <c r="I749" s="14"/>
    </row>
    <row r="750">
      <c r="H750" s="13"/>
      <c r="I750" s="14"/>
    </row>
    <row r="751">
      <c r="H751" s="13"/>
      <c r="I751" s="14"/>
    </row>
    <row r="752">
      <c r="H752" s="13"/>
      <c r="I752" s="14"/>
    </row>
    <row r="753">
      <c r="H753" s="13"/>
      <c r="I753" s="14"/>
    </row>
    <row r="754">
      <c r="H754" s="13"/>
      <c r="I754" s="14"/>
    </row>
    <row r="755">
      <c r="H755" s="13"/>
      <c r="I755" s="14"/>
    </row>
    <row r="756">
      <c r="H756" s="13"/>
      <c r="I756" s="14"/>
    </row>
    <row r="757">
      <c r="H757" s="13"/>
      <c r="I757" s="14"/>
    </row>
    <row r="758">
      <c r="H758" s="13"/>
      <c r="I758" s="14"/>
    </row>
    <row r="759">
      <c r="H759" s="13"/>
      <c r="I759" s="14"/>
    </row>
    <row r="760">
      <c r="H760" s="13"/>
      <c r="I760" s="14"/>
    </row>
    <row r="761">
      <c r="H761" s="13"/>
      <c r="I761" s="14"/>
    </row>
    <row r="762">
      <c r="H762" s="13"/>
      <c r="I762" s="14"/>
    </row>
    <row r="763">
      <c r="H763" s="13"/>
      <c r="I763" s="14"/>
    </row>
    <row r="764">
      <c r="H764" s="13"/>
      <c r="I764" s="14"/>
    </row>
    <row r="765">
      <c r="H765" s="13"/>
      <c r="I765" s="14"/>
    </row>
    <row r="766">
      <c r="H766" s="13"/>
      <c r="I766" s="14"/>
    </row>
    <row r="767">
      <c r="H767" s="13"/>
      <c r="I767" s="14"/>
    </row>
    <row r="768">
      <c r="H768" s="13"/>
      <c r="I768" s="14"/>
    </row>
    <row r="769">
      <c r="H769" s="13"/>
      <c r="I769" s="14"/>
    </row>
    <row r="770">
      <c r="H770" s="13"/>
      <c r="I770" s="14"/>
    </row>
    <row r="771">
      <c r="H771" s="13"/>
      <c r="I771" s="14"/>
    </row>
    <row r="772">
      <c r="H772" s="13"/>
      <c r="I772" s="14"/>
    </row>
    <row r="773">
      <c r="H773" s="13"/>
      <c r="I773" s="14"/>
    </row>
    <row r="774">
      <c r="H774" s="13"/>
      <c r="I774" s="14"/>
    </row>
    <row r="775">
      <c r="H775" s="13"/>
      <c r="I775" s="14"/>
    </row>
    <row r="776">
      <c r="H776" s="13"/>
      <c r="I776" s="14"/>
    </row>
    <row r="777">
      <c r="H777" s="13"/>
      <c r="I777" s="14"/>
    </row>
    <row r="778">
      <c r="H778" s="13"/>
      <c r="I778" s="14"/>
    </row>
    <row r="779">
      <c r="H779" s="13"/>
      <c r="I779" s="14"/>
    </row>
    <row r="780">
      <c r="H780" s="13"/>
      <c r="I780" s="14"/>
    </row>
    <row r="781">
      <c r="H781" s="13"/>
      <c r="I781" s="14"/>
    </row>
    <row r="782">
      <c r="H782" s="13"/>
      <c r="I782" s="14"/>
    </row>
    <row r="783">
      <c r="H783" s="13"/>
      <c r="I783" s="14"/>
    </row>
    <row r="784">
      <c r="H784" s="13"/>
      <c r="I784" s="14"/>
    </row>
    <row r="785">
      <c r="H785" s="13"/>
      <c r="I785" s="14"/>
    </row>
    <row r="786">
      <c r="H786" s="13"/>
      <c r="I786" s="14"/>
    </row>
    <row r="787">
      <c r="H787" s="13"/>
      <c r="I787" s="14"/>
    </row>
    <row r="788">
      <c r="H788" s="13"/>
      <c r="I788" s="14"/>
    </row>
    <row r="789">
      <c r="H789" s="13"/>
      <c r="I789" s="14"/>
    </row>
    <row r="790">
      <c r="H790" s="13"/>
      <c r="I790" s="14"/>
    </row>
    <row r="791">
      <c r="H791" s="13"/>
      <c r="I791" s="14"/>
    </row>
    <row r="792">
      <c r="H792" s="13"/>
      <c r="I792" s="14"/>
    </row>
    <row r="793">
      <c r="H793" s="13"/>
      <c r="I793" s="14"/>
    </row>
    <row r="794">
      <c r="H794" s="13"/>
      <c r="I794" s="14"/>
    </row>
    <row r="795">
      <c r="H795" s="13"/>
      <c r="I795" s="14"/>
    </row>
    <row r="796">
      <c r="H796" s="13"/>
      <c r="I796" s="14"/>
    </row>
    <row r="797">
      <c r="H797" s="13"/>
      <c r="I797" s="14"/>
    </row>
    <row r="798">
      <c r="H798" s="13"/>
      <c r="I798" s="14"/>
    </row>
    <row r="799">
      <c r="H799" s="13"/>
      <c r="I799" s="14"/>
    </row>
    <row r="800">
      <c r="H800" s="13"/>
      <c r="I800" s="14"/>
    </row>
    <row r="801">
      <c r="H801" s="13"/>
      <c r="I801" s="14"/>
    </row>
    <row r="802">
      <c r="H802" s="13"/>
      <c r="I802" s="14"/>
    </row>
    <row r="803">
      <c r="H803" s="13"/>
      <c r="I803" s="14"/>
    </row>
    <row r="804">
      <c r="H804" s="13"/>
      <c r="I804" s="14"/>
    </row>
    <row r="805">
      <c r="H805" s="13"/>
      <c r="I805" s="14"/>
    </row>
    <row r="806">
      <c r="H806" s="13"/>
      <c r="I806" s="14"/>
    </row>
    <row r="807">
      <c r="H807" s="13"/>
      <c r="I807" s="14"/>
    </row>
    <row r="808">
      <c r="H808" s="13"/>
      <c r="I808" s="14"/>
    </row>
    <row r="809">
      <c r="H809" s="13"/>
      <c r="I809" s="14"/>
    </row>
    <row r="810">
      <c r="H810" s="13"/>
      <c r="I810" s="14"/>
    </row>
    <row r="811">
      <c r="H811" s="13"/>
      <c r="I811" s="14"/>
    </row>
    <row r="812">
      <c r="H812" s="13"/>
      <c r="I812" s="14"/>
    </row>
    <row r="813">
      <c r="H813" s="13"/>
      <c r="I813" s="14"/>
    </row>
    <row r="814">
      <c r="H814" s="13"/>
      <c r="I814" s="14"/>
    </row>
    <row r="815">
      <c r="H815" s="13"/>
      <c r="I815" s="14"/>
    </row>
    <row r="816">
      <c r="H816" s="13"/>
      <c r="I816" s="14"/>
    </row>
    <row r="817">
      <c r="H817" s="13"/>
      <c r="I817" s="14"/>
    </row>
    <row r="818">
      <c r="H818" s="13"/>
      <c r="I818" s="14"/>
    </row>
    <row r="819">
      <c r="H819" s="13"/>
      <c r="I819" s="14"/>
    </row>
    <row r="820">
      <c r="H820" s="13"/>
      <c r="I820" s="14"/>
    </row>
    <row r="821">
      <c r="H821" s="13"/>
      <c r="I821" s="14"/>
    </row>
    <row r="822">
      <c r="H822" s="13"/>
      <c r="I822" s="14"/>
    </row>
    <row r="823">
      <c r="H823" s="13"/>
      <c r="I823" s="14"/>
    </row>
    <row r="824">
      <c r="H824" s="13"/>
      <c r="I824" s="14"/>
    </row>
    <row r="825">
      <c r="H825" s="13"/>
      <c r="I825" s="14"/>
    </row>
    <row r="826">
      <c r="H826" s="13"/>
      <c r="I826" s="14"/>
    </row>
    <row r="827">
      <c r="H827" s="13"/>
      <c r="I827" s="14"/>
    </row>
    <row r="828">
      <c r="H828" s="13"/>
      <c r="I828" s="14"/>
    </row>
    <row r="829">
      <c r="H829" s="13"/>
      <c r="I829" s="14"/>
    </row>
    <row r="830">
      <c r="H830" s="13"/>
      <c r="I830" s="14"/>
    </row>
    <row r="831">
      <c r="H831" s="13"/>
      <c r="I831" s="14"/>
    </row>
    <row r="832">
      <c r="H832" s="13"/>
      <c r="I832" s="14"/>
    </row>
    <row r="833">
      <c r="H833" s="13"/>
      <c r="I833" s="14"/>
    </row>
    <row r="834">
      <c r="H834" s="13"/>
      <c r="I834" s="14"/>
    </row>
    <row r="835">
      <c r="H835" s="13"/>
      <c r="I835" s="14"/>
    </row>
    <row r="836">
      <c r="H836" s="13"/>
      <c r="I836" s="14"/>
    </row>
    <row r="837">
      <c r="H837" s="13"/>
      <c r="I837" s="14"/>
    </row>
    <row r="838">
      <c r="H838" s="13"/>
      <c r="I838" s="14"/>
    </row>
    <row r="839">
      <c r="H839" s="13"/>
      <c r="I839" s="14"/>
    </row>
    <row r="840">
      <c r="H840" s="13"/>
      <c r="I840" s="14"/>
    </row>
    <row r="841">
      <c r="H841" s="13"/>
      <c r="I841" s="14"/>
    </row>
    <row r="842">
      <c r="H842" s="13"/>
      <c r="I842" s="14"/>
    </row>
    <row r="843">
      <c r="H843" s="13"/>
      <c r="I843" s="14"/>
    </row>
    <row r="844">
      <c r="H844" s="13"/>
      <c r="I844" s="14"/>
    </row>
    <row r="845">
      <c r="H845" s="13"/>
      <c r="I845" s="14"/>
    </row>
    <row r="846">
      <c r="H846" s="13"/>
      <c r="I846" s="14"/>
    </row>
    <row r="847">
      <c r="H847" s="13"/>
      <c r="I847" s="14"/>
    </row>
    <row r="848">
      <c r="H848" s="13"/>
      <c r="I848" s="14"/>
    </row>
    <row r="849">
      <c r="H849" s="13"/>
      <c r="I849" s="14"/>
    </row>
    <row r="850">
      <c r="H850" s="13"/>
      <c r="I850" s="14"/>
    </row>
    <row r="851">
      <c r="H851" s="13"/>
      <c r="I851" s="14"/>
    </row>
    <row r="852">
      <c r="H852" s="13"/>
      <c r="I852" s="14"/>
    </row>
    <row r="853">
      <c r="H853" s="13"/>
      <c r="I853" s="14"/>
    </row>
    <row r="854">
      <c r="H854" s="13"/>
      <c r="I854" s="14"/>
    </row>
    <row r="855">
      <c r="H855" s="13"/>
      <c r="I855" s="14"/>
    </row>
    <row r="856">
      <c r="H856" s="13"/>
      <c r="I856" s="14"/>
    </row>
    <row r="857">
      <c r="H857" s="13"/>
      <c r="I857" s="14"/>
    </row>
    <row r="858">
      <c r="H858" s="13"/>
      <c r="I858" s="14"/>
    </row>
    <row r="859">
      <c r="H859" s="13"/>
      <c r="I859" s="14"/>
    </row>
    <row r="860">
      <c r="H860" s="13"/>
      <c r="I860" s="14"/>
    </row>
    <row r="861">
      <c r="H861" s="13"/>
      <c r="I861" s="14"/>
    </row>
    <row r="862">
      <c r="H862" s="13"/>
      <c r="I862" s="14"/>
    </row>
    <row r="863">
      <c r="H863" s="13"/>
      <c r="I863" s="14"/>
    </row>
    <row r="864">
      <c r="H864" s="13"/>
      <c r="I864" s="14"/>
    </row>
    <row r="865">
      <c r="H865" s="13"/>
      <c r="I865" s="14"/>
    </row>
    <row r="866">
      <c r="H866" s="13"/>
      <c r="I866" s="14"/>
    </row>
    <row r="867">
      <c r="H867" s="13"/>
      <c r="I867" s="14"/>
    </row>
    <row r="868">
      <c r="H868" s="13"/>
      <c r="I868" s="14"/>
    </row>
    <row r="869">
      <c r="H869" s="13"/>
      <c r="I869" s="14"/>
    </row>
    <row r="870">
      <c r="H870" s="13"/>
      <c r="I870" s="14"/>
    </row>
    <row r="871">
      <c r="H871" s="13"/>
      <c r="I871" s="14"/>
    </row>
    <row r="872">
      <c r="H872" s="13"/>
      <c r="I872" s="14"/>
    </row>
    <row r="873">
      <c r="H873" s="13"/>
      <c r="I873" s="14"/>
    </row>
    <row r="874">
      <c r="H874" s="13"/>
      <c r="I874" s="14"/>
    </row>
    <row r="875">
      <c r="H875" s="13"/>
      <c r="I875" s="14"/>
    </row>
    <row r="876">
      <c r="H876" s="13"/>
      <c r="I876" s="14"/>
    </row>
    <row r="877">
      <c r="H877" s="13"/>
      <c r="I877" s="14"/>
    </row>
    <row r="878">
      <c r="H878" s="13"/>
      <c r="I878" s="14"/>
    </row>
    <row r="879">
      <c r="H879" s="13"/>
      <c r="I879" s="14"/>
    </row>
    <row r="880">
      <c r="H880" s="13"/>
      <c r="I880" s="14"/>
    </row>
    <row r="881">
      <c r="H881" s="13"/>
      <c r="I881" s="14"/>
    </row>
    <row r="882">
      <c r="H882" s="13"/>
      <c r="I882" s="14"/>
    </row>
    <row r="883">
      <c r="H883" s="13"/>
      <c r="I883" s="14"/>
    </row>
    <row r="884">
      <c r="H884" s="13"/>
      <c r="I884" s="14"/>
    </row>
    <row r="885">
      <c r="H885" s="13"/>
      <c r="I885" s="14"/>
    </row>
    <row r="886">
      <c r="H886" s="13"/>
      <c r="I886" s="14"/>
    </row>
    <row r="887">
      <c r="H887" s="13"/>
      <c r="I887" s="14"/>
    </row>
    <row r="888">
      <c r="H888" s="13"/>
      <c r="I888" s="14"/>
    </row>
    <row r="889">
      <c r="H889" s="13"/>
      <c r="I889" s="14"/>
    </row>
    <row r="890">
      <c r="H890" s="13"/>
      <c r="I890" s="14"/>
    </row>
    <row r="891">
      <c r="H891" s="13"/>
      <c r="I891" s="14"/>
    </row>
    <row r="892">
      <c r="H892" s="13"/>
      <c r="I892" s="14"/>
    </row>
    <row r="893">
      <c r="H893" s="13"/>
      <c r="I893" s="14"/>
    </row>
    <row r="894">
      <c r="H894" s="13"/>
      <c r="I894" s="14"/>
    </row>
    <row r="895">
      <c r="H895" s="13"/>
      <c r="I895" s="14"/>
    </row>
    <row r="896">
      <c r="H896" s="13"/>
      <c r="I896" s="14"/>
    </row>
    <row r="897">
      <c r="H897" s="13"/>
      <c r="I897" s="14"/>
    </row>
    <row r="898">
      <c r="H898" s="13"/>
      <c r="I898" s="14"/>
    </row>
    <row r="899">
      <c r="H899" s="13"/>
      <c r="I899" s="14"/>
    </row>
    <row r="900">
      <c r="H900" s="13"/>
      <c r="I900" s="14"/>
    </row>
    <row r="901">
      <c r="H901" s="13"/>
      <c r="I901" s="14"/>
    </row>
    <row r="902">
      <c r="H902" s="13"/>
      <c r="I902" s="14"/>
    </row>
    <row r="903">
      <c r="H903" s="13"/>
      <c r="I903" s="14"/>
    </row>
    <row r="904">
      <c r="H904" s="13"/>
      <c r="I904" s="14"/>
    </row>
    <row r="905">
      <c r="H905" s="13"/>
      <c r="I905" s="14"/>
    </row>
    <row r="906">
      <c r="H906" s="13"/>
      <c r="I906" s="14"/>
    </row>
    <row r="907">
      <c r="H907" s="13"/>
      <c r="I907" s="14"/>
    </row>
    <row r="908">
      <c r="H908" s="13"/>
      <c r="I908" s="14"/>
    </row>
    <row r="909">
      <c r="H909" s="13"/>
      <c r="I909" s="14"/>
    </row>
    <row r="910">
      <c r="H910" s="13"/>
      <c r="I910" s="14"/>
    </row>
    <row r="911">
      <c r="H911" s="13"/>
      <c r="I911" s="14"/>
    </row>
    <row r="912">
      <c r="H912" s="13"/>
      <c r="I912" s="14"/>
    </row>
    <row r="913">
      <c r="H913" s="13"/>
      <c r="I913" s="14"/>
    </row>
    <row r="914">
      <c r="H914" s="13"/>
      <c r="I914" s="14"/>
    </row>
    <row r="915">
      <c r="H915" s="13"/>
      <c r="I915" s="14"/>
    </row>
    <row r="916">
      <c r="H916" s="13"/>
      <c r="I916" s="14"/>
    </row>
    <row r="917">
      <c r="H917" s="13"/>
      <c r="I917" s="14"/>
    </row>
    <row r="918">
      <c r="H918" s="13"/>
      <c r="I918" s="14"/>
    </row>
    <row r="919">
      <c r="H919" s="13"/>
      <c r="I919" s="14"/>
    </row>
    <row r="920">
      <c r="H920" s="13"/>
      <c r="I920" s="14"/>
    </row>
    <row r="921">
      <c r="H921" s="13"/>
      <c r="I921" s="14"/>
    </row>
    <row r="922">
      <c r="H922" s="13"/>
      <c r="I922" s="14"/>
    </row>
    <row r="923">
      <c r="H923" s="13"/>
      <c r="I923" s="14"/>
    </row>
    <row r="924">
      <c r="H924" s="13"/>
      <c r="I924" s="14"/>
    </row>
    <row r="925">
      <c r="H925" s="13"/>
      <c r="I925" s="14"/>
    </row>
    <row r="926">
      <c r="H926" s="13"/>
      <c r="I926" s="14"/>
    </row>
    <row r="927">
      <c r="H927" s="13"/>
      <c r="I927" s="14"/>
    </row>
    <row r="928">
      <c r="H928" s="13"/>
      <c r="I928" s="14"/>
    </row>
    <row r="929">
      <c r="H929" s="13"/>
      <c r="I929" s="14"/>
    </row>
    <row r="930">
      <c r="H930" s="13"/>
      <c r="I930" s="14"/>
    </row>
    <row r="931">
      <c r="H931" s="13"/>
      <c r="I931" s="14"/>
    </row>
    <row r="932">
      <c r="H932" s="13"/>
      <c r="I932" s="14"/>
    </row>
    <row r="933">
      <c r="H933" s="13"/>
      <c r="I933" s="14"/>
    </row>
    <row r="934">
      <c r="H934" s="13"/>
      <c r="I934" s="14"/>
    </row>
    <row r="935">
      <c r="H935" s="13"/>
      <c r="I935" s="14"/>
    </row>
    <row r="936">
      <c r="H936" s="13"/>
      <c r="I936" s="14"/>
    </row>
    <row r="937">
      <c r="H937" s="13"/>
      <c r="I937" s="14"/>
    </row>
    <row r="938">
      <c r="H938" s="13"/>
      <c r="I938" s="14"/>
    </row>
    <row r="939">
      <c r="H939" s="13"/>
      <c r="I939" s="14"/>
    </row>
    <row r="940">
      <c r="H940" s="13"/>
      <c r="I940" s="14"/>
    </row>
    <row r="941">
      <c r="H941" s="13"/>
      <c r="I941" s="14"/>
    </row>
    <row r="942">
      <c r="H942" s="13"/>
      <c r="I942" s="14"/>
    </row>
    <row r="943">
      <c r="H943" s="13"/>
      <c r="I943" s="14"/>
    </row>
    <row r="944">
      <c r="H944" s="13"/>
      <c r="I944" s="14"/>
    </row>
    <row r="945">
      <c r="H945" s="13"/>
      <c r="I945" s="14"/>
    </row>
    <row r="946">
      <c r="H946" s="13"/>
      <c r="I946" s="14"/>
    </row>
    <row r="947">
      <c r="H947" s="13"/>
      <c r="I947" s="14"/>
    </row>
    <row r="948">
      <c r="H948" s="13"/>
      <c r="I948" s="14"/>
    </row>
    <row r="949">
      <c r="H949" s="13"/>
      <c r="I949" s="14"/>
    </row>
    <row r="950">
      <c r="H950" s="13"/>
      <c r="I950" s="14"/>
    </row>
    <row r="951">
      <c r="H951" s="13"/>
      <c r="I951" s="14"/>
    </row>
    <row r="952">
      <c r="H952" s="13"/>
      <c r="I952" s="14"/>
    </row>
    <row r="953">
      <c r="H953" s="13"/>
      <c r="I953" s="14"/>
    </row>
    <row r="954">
      <c r="H954" s="13"/>
      <c r="I954" s="14"/>
    </row>
    <row r="955">
      <c r="H955" s="13"/>
      <c r="I955" s="14"/>
    </row>
    <row r="956">
      <c r="H956" s="13"/>
      <c r="I956" s="14"/>
    </row>
    <row r="957">
      <c r="H957" s="13"/>
      <c r="I957" s="14"/>
    </row>
    <row r="958">
      <c r="H958" s="13"/>
      <c r="I958" s="14"/>
    </row>
    <row r="959">
      <c r="H959" s="13"/>
      <c r="I959" s="14"/>
    </row>
    <row r="960">
      <c r="H960" s="13"/>
      <c r="I960" s="14"/>
    </row>
    <row r="961">
      <c r="H961" s="13"/>
      <c r="I961" s="14"/>
    </row>
    <row r="962">
      <c r="H962" s="13"/>
      <c r="I962" s="14"/>
    </row>
    <row r="963">
      <c r="H963" s="13"/>
      <c r="I963" s="14"/>
    </row>
    <row r="964">
      <c r="H964" s="13"/>
      <c r="I964" s="14"/>
    </row>
    <row r="965">
      <c r="H965" s="13"/>
      <c r="I965" s="14"/>
    </row>
    <row r="966">
      <c r="H966" s="13"/>
      <c r="I966" s="14"/>
    </row>
    <row r="967">
      <c r="H967" s="13"/>
      <c r="I967" s="14"/>
    </row>
    <row r="968">
      <c r="H968" s="13"/>
      <c r="I968" s="14"/>
    </row>
    <row r="969">
      <c r="H969" s="13"/>
      <c r="I969" s="14"/>
    </row>
    <row r="970">
      <c r="H970" s="13"/>
      <c r="I970" s="14"/>
    </row>
    <row r="971">
      <c r="H971" s="13"/>
      <c r="I971" s="14"/>
    </row>
    <row r="972">
      <c r="H972" s="13"/>
      <c r="I972" s="14"/>
    </row>
    <row r="973">
      <c r="H973" s="13"/>
      <c r="I973" s="14"/>
    </row>
    <row r="974">
      <c r="H974" s="13"/>
      <c r="I974" s="14"/>
    </row>
    <row r="975">
      <c r="H975" s="13"/>
      <c r="I975" s="14"/>
    </row>
    <row r="976">
      <c r="H976" s="13"/>
      <c r="I976" s="14"/>
    </row>
    <row r="977">
      <c r="H977" s="13"/>
      <c r="I977" s="14"/>
    </row>
    <row r="978">
      <c r="H978" s="13"/>
      <c r="I978" s="14"/>
    </row>
    <row r="979">
      <c r="H979" s="13"/>
      <c r="I979" s="14"/>
    </row>
    <row r="980">
      <c r="H980" s="13"/>
      <c r="I980" s="14"/>
    </row>
    <row r="981">
      <c r="H981" s="13"/>
      <c r="I981" s="14"/>
    </row>
    <row r="982">
      <c r="H982" s="13"/>
      <c r="I982" s="14"/>
    </row>
    <row r="983">
      <c r="H983" s="13"/>
      <c r="I983" s="14"/>
    </row>
    <row r="984">
      <c r="H984" s="13"/>
      <c r="I984" s="14"/>
    </row>
    <row r="985">
      <c r="H985" s="13"/>
      <c r="I985" s="14"/>
    </row>
    <row r="986">
      <c r="H986" s="13"/>
      <c r="I986" s="14"/>
    </row>
    <row r="987">
      <c r="H987" s="13"/>
      <c r="I987" s="14"/>
    </row>
    <row r="988">
      <c r="H988" s="13"/>
      <c r="I988" s="14"/>
    </row>
    <row r="989">
      <c r="H989" s="13"/>
      <c r="I989" s="14"/>
    </row>
    <row r="990">
      <c r="H990" s="13"/>
      <c r="I990" s="14"/>
    </row>
    <row r="991">
      <c r="H991" s="13"/>
      <c r="I991" s="14"/>
    </row>
    <row r="992">
      <c r="H992" s="13"/>
      <c r="I992" s="14"/>
    </row>
    <row r="993">
      <c r="H993" s="13"/>
      <c r="I993" s="14"/>
    </row>
    <row r="994">
      <c r="H994" s="13"/>
      <c r="I994" s="14"/>
    </row>
    <row r="995">
      <c r="H995" s="13"/>
      <c r="I995" s="14"/>
    </row>
    <row r="996">
      <c r="H996" s="13"/>
      <c r="I996" s="14"/>
    </row>
    <row r="997">
      <c r="H997" s="13"/>
      <c r="I997" s="14"/>
    </row>
    <row r="998">
      <c r="H998" s="13"/>
      <c r="I998" s="14"/>
    </row>
    <row r="999">
      <c r="H999" s="13"/>
      <c r="I999" s="14"/>
    </row>
    <row r="1000">
      <c r="H1000" s="13"/>
      <c r="I1000" s="14"/>
    </row>
  </sheetData>
  <drawing r:id="rId2"/>
</worksheet>
</file>